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85" windowWidth="6600" windowHeight="1170" tabRatio="241" activeTab="0"/>
  </bookViews>
  <sheets>
    <sheet name="Summary" sheetId="1" r:id="rId1"/>
    <sheet name="Recon" sheetId="2" r:id="rId2"/>
  </sheets>
  <definedNames>
    <definedName name="_xlnm.Print_Area" localSheetId="0">'Summary'!$B$4:$CH$94</definedName>
  </definedNames>
  <calcPr fullCalcOnLoad="1"/>
</workbook>
</file>

<file path=xl/comments1.xml><?xml version="1.0" encoding="utf-8"?>
<comments xmlns="http://schemas.openxmlformats.org/spreadsheetml/2006/main">
  <authors>
    <author>Robertson, Michael T</author>
  </authors>
  <commentList>
    <comment ref="R35" authorId="0">
      <text>
        <r>
          <rPr>
            <sz val="9"/>
            <rFont val="Tahoma"/>
            <family val="2"/>
          </rPr>
          <t xml:space="preserve">$25.0  Swift OT
$  5.4   EEOC </t>
        </r>
      </text>
    </comment>
    <comment ref="J44" authorId="0">
      <text>
        <r>
          <rPr>
            <b/>
            <sz val="9"/>
            <rFont val="Tahoma"/>
            <family val="2"/>
          </rPr>
          <t>Robertson, Michael T:</t>
        </r>
        <r>
          <rPr>
            <sz val="9"/>
            <rFont val="Tahoma"/>
            <family val="2"/>
          </rPr>
          <t xml:space="preserve">
$8.6m increase associated with the PSC PGA</t>
        </r>
      </text>
    </comment>
    <comment ref="AJ52" authorId="0">
      <text>
        <r>
          <rPr>
            <b/>
            <sz val="9"/>
            <rFont val="Tahoma"/>
            <family val="2"/>
          </rPr>
          <t xml:space="preserve">Robertson, Michael T:
</t>
        </r>
        <r>
          <rPr>
            <sz val="9"/>
            <rFont val="Tahoma"/>
            <family val="2"/>
          </rPr>
          <t>Reclassify $67m from GCCF Transitional payments to Seafood Fund</t>
        </r>
      </text>
    </comment>
    <comment ref="AJ54" authorId="0">
      <text>
        <r>
          <rPr>
            <b/>
            <sz val="9"/>
            <rFont val="Tahoma"/>
            <family val="2"/>
          </rPr>
          <t>Robertson, Michael T:</t>
        </r>
        <r>
          <rPr>
            <sz val="9"/>
            <rFont val="Tahoma"/>
            <family val="2"/>
          </rPr>
          <t xml:space="preserve">
Reclassify $67m from GCCF Transitional payments to Seafood Fund</t>
        </r>
      </text>
    </comment>
    <comment ref="AJ55" authorId="0">
      <text>
        <r>
          <rPr>
            <b/>
            <sz val="9"/>
            <rFont val="Tahoma"/>
            <family val="2"/>
          </rPr>
          <t>Robertson, Michael T:</t>
        </r>
        <r>
          <rPr>
            <sz val="9"/>
            <rFont val="Tahoma"/>
            <family val="2"/>
          </rPr>
          <t xml:space="preserve">
Adjusted to reflect the full contributions to this QSF</t>
        </r>
      </text>
    </comment>
    <comment ref="R88" authorId="0">
      <text>
        <r>
          <rPr>
            <b/>
            <sz val="9"/>
            <rFont val="Tahoma"/>
            <family val="2"/>
          </rPr>
          <t>Robertson, Michael T:</t>
        </r>
        <r>
          <rPr>
            <sz val="9"/>
            <rFont val="Tahoma"/>
            <family val="2"/>
          </rPr>
          <t xml:space="preserve">
Discounted by $11.8m</t>
        </r>
      </text>
    </comment>
    <comment ref="AJ44" authorId="0">
      <text>
        <r>
          <rPr>
            <b/>
            <sz val="9"/>
            <rFont val="Tahoma"/>
            <family val="2"/>
          </rPr>
          <t>Robertson, Michael T:</t>
        </r>
        <r>
          <rPr>
            <sz val="9"/>
            <rFont val="Tahoma"/>
            <family val="2"/>
          </rPr>
          <t xml:space="preserve">
Rounding..</t>
        </r>
      </text>
    </comment>
    <comment ref="BN34" authorId="0">
      <text>
        <r>
          <rPr>
            <sz val="10"/>
            <rFont val="Tahoma"/>
            <family val="2"/>
          </rPr>
          <t>Rounding to tie out Litigation Matters</t>
        </r>
      </text>
    </comment>
    <comment ref="BO34" authorId="0">
      <text>
        <r>
          <rPr>
            <sz val="10"/>
            <rFont val="Tahoma"/>
            <family val="2"/>
          </rPr>
          <t>Rounding to tie out Litigation Matters .138 and Govt Entity .25</t>
        </r>
      </text>
    </comment>
    <comment ref="BO54" authorId="0">
      <text>
        <r>
          <rPr>
            <b/>
            <sz val="9"/>
            <rFont val="Tahoma"/>
            <family val="2"/>
          </rPr>
          <t>Robertson, Michael T:</t>
        </r>
        <r>
          <rPr>
            <sz val="9"/>
            <rFont val="Tahoma"/>
            <family val="2"/>
          </rPr>
          <t xml:space="preserve">
Adjust GCCF Transitional payments related to the Seafood down $(3.677)m and reflect those as GCCF I&amp;B payments.  </t>
        </r>
      </text>
    </comment>
    <comment ref="BN48" authorId="0">
      <text>
        <r>
          <rPr>
            <b/>
            <sz val="9"/>
            <rFont val="Tahoma"/>
            <family val="2"/>
          </rPr>
          <t>Robertson, Michael T:</t>
        </r>
        <r>
          <rPr>
            <sz val="9"/>
            <rFont val="Tahoma"/>
            <family val="2"/>
          </rPr>
          <t xml:space="preserve">
Clear remaining Real Estate to GCCF I&amp;B</t>
        </r>
      </text>
    </comment>
    <comment ref="CT51" authorId="0">
      <text>
        <r>
          <rPr>
            <b/>
            <sz val="9"/>
            <rFont val="Tahoma"/>
            <family val="2"/>
          </rPr>
          <t>Robertson, Michael T:</t>
        </r>
        <r>
          <rPr>
            <sz val="9"/>
            <rFont val="Tahoma"/>
            <family val="2"/>
          </rPr>
          <t xml:space="preserve">
Split out "40%" payments between balances that would be covered by the PSC agreement ($8.470) and amounts not covered by the PSC settlement ($3.496).
Per e-mail from J. Hanhan on 7-3-14
</t>
        </r>
      </text>
    </comment>
    <comment ref="CT53" authorId="0">
      <text>
        <r>
          <rPr>
            <b/>
            <sz val="9"/>
            <rFont val="Tahoma"/>
            <family val="2"/>
          </rPr>
          <t>Robertson, Michael T:</t>
        </r>
        <r>
          <rPr>
            <sz val="9"/>
            <rFont val="Tahoma"/>
            <family val="2"/>
          </rPr>
          <t xml:space="preserve">
See comment above</t>
        </r>
      </text>
    </comment>
  </commentList>
</comments>
</file>

<file path=xl/sharedStrings.xml><?xml version="1.0" encoding="utf-8"?>
<sst xmlns="http://schemas.openxmlformats.org/spreadsheetml/2006/main" count="399" uniqueCount="130">
  <si>
    <t>Provision</t>
  </si>
  <si>
    <t>NRDA</t>
  </si>
  <si>
    <t>TOTAL</t>
  </si>
  <si>
    <t>Relief Well</t>
  </si>
  <si>
    <t>Source Control</t>
  </si>
  <si>
    <t>Spill Response</t>
  </si>
  <si>
    <t>Adjust</t>
  </si>
  <si>
    <t>Other</t>
  </si>
  <si>
    <t>NRDA - Trust</t>
  </si>
  <si>
    <t>Non-Trust</t>
  </si>
  <si>
    <t>Environmental</t>
  </si>
  <si>
    <t>Recoveries</t>
  </si>
  <si>
    <t>Provided</t>
  </si>
  <si>
    <t>Utilized</t>
  </si>
  <si>
    <t>Remaining</t>
  </si>
  <si>
    <t>State/Local Response</t>
  </si>
  <si>
    <t>TRUST</t>
  </si>
  <si>
    <t>Category</t>
  </si>
  <si>
    <t>Litigation Matters</t>
  </si>
  <si>
    <t>Federal - USCG</t>
  </si>
  <si>
    <t>Period Cost</t>
  </si>
  <si>
    <t>Transferred</t>
  </si>
  <si>
    <t>Indirect Tax Makeup</t>
  </si>
  <si>
    <t>Louisiana Berms</t>
  </si>
  <si>
    <t>Gulf Research Initiative</t>
  </si>
  <si>
    <t>Disc Change</t>
  </si>
  <si>
    <t>ENVIRONMENTAL</t>
  </si>
  <si>
    <t>Activity</t>
  </si>
  <si>
    <t>$m USD</t>
  </si>
  <si>
    <t>Clean Water Act Fine</t>
  </si>
  <si>
    <t>Legal/Claims</t>
  </si>
  <si>
    <t>Settlements - VoO Property</t>
  </si>
  <si>
    <t>LEGAL/CLAIMS</t>
  </si>
  <si>
    <t>Adjust - Rounding</t>
  </si>
  <si>
    <t>Pre-Tax P&amp;L</t>
  </si>
  <si>
    <t xml:space="preserve">Trust </t>
  </si>
  <si>
    <t xml:space="preserve">     Trust Headroom - Finance Costs</t>
  </si>
  <si>
    <t xml:space="preserve">     Trust Headroom</t>
  </si>
  <si>
    <t xml:space="preserve">Cost </t>
  </si>
  <si>
    <t>Reported</t>
  </si>
  <si>
    <t>Incurred</t>
  </si>
  <si>
    <t>Remaing</t>
  </si>
  <si>
    <t>SPILL RESPONSE</t>
  </si>
  <si>
    <t>OTHER/FINES</t>
  </si>
  <si>
    <t>FUNCTIONAL COSTS</t>
  </si>
  <si>
    <t>RECOVERIES</t>
  </si>
  <si>
    <t>Trust HEADROOM</t>
  </si>
  <si>
    <t>1Q2012</t>
  </si>
  <si>
    <t>4Q11 Inception to Date</t>
  </si>
  <si>
    <t>2Q2012</t>
  </si>
  <si>
    <t>3Q2012</t>
  </si>
  <si>
    <t>NRD Early Restoration - Trust</t>
  </si>
  <si>
    <t>State/Local - Behavourial Health</t>
  </si>
  <si>
    <t>State/Local - Tourism</t>
  </si>
  <si>
    <t>State/Local Contributions</t>
  </si>
  <si>
    <t>NFWF Donation</t>
  </si>
  <si>
    <t>NFWF Donation Revenue</t>
  </si>
  <si>
    <t>4Q2012</t>
  </si>
  <si>
    <t>SCAT/Site Rem/WM/NRA/BO Project</t>
  </si>
  <si>
    <t>Payable</t>
  </si>
  <si>
    <t xml:space="preserve">Payable </t>
  </si>
  <si>
    <t>Payment</t>
  </si>
  <si>
    <t>Functional Costs</t>
  </si>
  <si>
    <t>Establish</t>
  </si>
  <si>
    <t>Fine - Govt Entity SEC</t>
  </si>
  <si>
    <t>Fine - Govt Entity SEC Admin</t>
  </si>
  <si>
    <t>Fine - Govt Entity DoJ</t>
  </si>
  <si>
    <t xml:space="preserve">   4Q12 Inception to Date</t>
  </si>
  <si>
    <t>Discount</t>
  </si>
  <si>
    <t>Period</t>
  </si>
  <si>
    <t>Cost</t>
  </si>
  <si>
    <t>DWHost Claim - Govt Entity</t>
  </si>
  <si>
    <t>DWHost Claim - Govt Entity - Berm</t>
  </si>
  <si>
    <t>DWHost Claim - GCCF I&amp;B</t>
  </si>
  <si>
    <t>DWHost Settlement - Real Estate</t>
  </si>
  <si>
    <t>DWHost Claim - GCCF Transitional "Seafood Fund"</t>
  </si>
  <si>
    <t>PSC Claim - Economic Seafood Fund</t>
  </si>
  <si>
    <t>PSC Claim - Economic PID Recoveries</t>
  </si>
  <si>
    <t>PSC Claim - Property - Lost Sales</t>
  </si>
  <si>
    <t>PSC Claim - Property - Coastal</t>
  </si>
  <si>
    <t>PSC Claim - Property - Wetlands</t>
  </si>
  <si>
    <t>PSC Claim - Subsistence</t>
  </si>
  <si>
    <t>PSC Claim - Medical  Health Outreach Program</t>
  </si>
  <si>
    <t>PSC Claim - Medical General Claims</t>
  </si>
  <si>
    <t>PSC Claim - Medical Administration</t>
  </si>
  <si>
    <t>PSC Claim - Business Interruption</t>
  </si>
  <si>
    <t>PSC Claim - Marketing Tourism/Seafood</t>
  </si>
  <si>
    <t>PSC Claim - Economic General</t>
  </si>
  <si>
    <t>PSC Claim - VoO</t>
  </si>
  <si>
    <t>DWHost Settlements - VoO Property</t>
  </si>
  <si>
    <t>DWHost Settlements - VoO Hire</t>
  </si>
  <si>
    <t>DWHost Settlements - Condo/Other</t>
  </si>
  <si>
    <t>DWHost Settlements - Personal Injury</t>
  </si>
  <si>
    <t>DWHost Govt Seafood Test/Mkt Tourism</t>
  </si>
  <si>
    <t>Claims Admin - DWHost - Behalf of PSC</t>
  </si>
  <si>
    <t>Claims Admin - PSC</t>
  </si>
  <si>
    <t>Claims Admin - Reimburse to DWHost</t>
  </si>
  <si>
    <t>PSC Claim - PSC Fees</t>
  </si>
  <si>
    <t>Govt Claim - Pre-GCCF</t>
  </si>
  <si>
    <t>Govt Claim - Seafood Test/Mkt Tourism</t>
  </si>
  <si>
    <t>I&amp;B Claim - Pre-GCCF</t>
  </si>
  <si>
    <t>DWHost Federal - USCG - Trust S/L</t>
  </si>
  <si>
    <t>Sec106 Assess/Mitgation</t>
  </si>
  <si>
    <t>Sec106 Response Compliance</t>
  </si>
  <si>
    <t>1Q2013</t>
  </si>
  <si>
    <t xml:space="preserve">Rig Workers </t>
  </si>
  <si>
    <t>2Q2013</t>
  </si>
  <si>
    <t>Disc/Int</t>
  </si>
  <si>
    <t>3Q2013</t>
  </si>
  <si>
    <t>4Q2013</t>
  </si>
  <si>
    <t xml:space="preserve">   4Q13 Inception to Date</t>
  </si>
  <si>
    <t>Sec106 Restoration</t>
  </si>
  <si>
    <t>1Q2014</t>
  </si>
  <si>
    <t>Claims Admin - Paid by BPXP</t>
  </si>
  <si>
    <t>TOTAL  BPXP</t>
  </si>
  <si>
    <t>BPXP</t>
  </si>
  <si>
    <t>2Q2014</t>
  </si>
  <si>
    <t>DWHost Claim - BP Claims</t>
  </si>
  <si>
    <r>
      <t xml:space="preserve">DWHost Claim - </t>
    </r>
    <r>
      <rPr>
        <b/>
        <sz val="10"/>
        <rFont val="Arial"/>
        <family val="2"/>
      </rPr>
      <t>PSC</t>
    </r>
    <r>
      <rPr>
        <sz val="10"/>
        <rFont val="Arial"/>
        <family val="2"/>
      </rPr>
      <t xml:space="preserve"> I&amp;B 40%</t>
    </r>
  </si>
  <si>
    <t>Per Provision Continuity Schedule</t>
  </si>
  <si>
    <t xml:space="preserve">  UK Direct Charges</t>
  </si>
  <si>
    <t xml:space="preserve">  SEC Charge</t>
  </si>
  <si>
    <t xml:space="preserve">  Jupiter Self Ins - UK Charge</t>
  </si>
  <si>
    <t>SEA Reported</t>
  </si>
  <si>
    <t>Total</t>
  </si>
  <si>
    <t>Difference</t>
  </si>
  <si>
    <t xml:space="preserve">  BPXP Legal Costs</t>
  </si>
  <si>
    <t>3Q2014</t>
  </si>
  <si>
    <t xml:space="preserve">   3Q14 Inception to Date</t>
  </si>
  <si>
    <t xml:space="preserve">  BPXP Costs Re-Charge to UK</t>
  </si>
</sst>
</file>

<file path=xl/styles.xml><?xml version="1.0" encoding="utf-8"?>
<styleSheet xmlns="http://schemas.openxmlformats.org/spreadsheetml/2006/main">
  <numFmts count="6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$&quot;#,##0.0_);\(&quot;$&quot;#,##0.0\)"/>
    <numFmt numFmtId="166" formatCode="&quot;$&quot;#,##0.000_);\(&quot;$&quot;#,##0.000\)"/>
    <numFmt numFmtId="167" formatCode="_(&quot;$&quot;* #,##0.0_);_(&quot;$&quot;* \(#,##0.0\);_(&quot;$&quot;* &quot;-&quot;??_);_(@_)"/>
    <numFmt numFmtId="168" formatCode="0.000"/>
    <numFmt numFmtId="169" formatCode="0.0"/>
    <numFmt numFmtId="170" formatCode="_(* 0%_);_(* \(0%\);_(* &quot;- &quot;_);_(@_)"/>
    <numFmt numFmtId="171" formatCode="_(* #,##0_);_(* \(#,##0\);_(* &quot;- &quot;_);_(@_)"/>
    <numFmt numFmtId="172" formatCode="0.000000"/>
    <numFmt numFmtId="173" formatCode="#,##0.00_ ;[Red]\-#,##0.00;\-"/>
    <numFmt numFmtId="174" formatCode="#,##0.0&quot;m&quot;_);\(#,##0.0&quot;m&quot;\)"/>
    <numFmt numFmtId="175" formatCode="\ \ \ \ \ \ \ \ \ @"/>
    <numFmt numFmtId="176" formatCode="_(#,##0_);\(#,##0\);&quot;-    &quot;"/>
    <numFmt numFmtId="177" formatCode="0.000_)"/>
    <numFmt numFmtId="178" formatCode="#,##0.00000;[Red]\(#,##0.00000\)"/>
    <numFmt numFmtId="179" formatCode="m\.d\.yy"/>
    <numFmt numFmtId="180" formatCode="&quot;$&quot;#,##0\ ;\(&quot;$&quot;#,##0\)"/>
    <numFmt numFmtId="181" formatCode="_-* #,##0.0_-;\-* #,##0.0_-;_-* &quot;-&quot;??_-;_-@_-"/>
    <numFmt numFmtId="182" formatCode="0.00_)"/>
    <numFmt numFmtId="183" formatCode="#,##0\ ;\(#,##0\)"/>
    <numFmt numFmtId="184" formatCode="0.0%"/>
    <numFmt numFmtId="185" formatCode="_-[$€-2]* #,##0.00_-;\-[$€-2]* #,##0.00_-;_-[$€-2]* &quot;-&quot;??_-"/>
    <numFmt numFmtId="186" formatCode="[Magenta]&quot;Err&quot;;[Magenta]&quot;Err&quot;;[Blue]&quot;OK&quot;"/>
    <numFmt numFmtId="187" formatCode="General\ &quot;.&quot;"/>
    <numFmt numFmtId="188" formatCode="#,##0_);[Red]\(#,##0\);\-_)"/>
    <numFmt numFmtId="189" formatCode="0.0_)%;[Red]\(0.0%\);0.0_)%"/>
    <numFmt numFmtId="190" formatCode="[Red][&gt;1]&quot;&gt;100 %&quot;;[Red]\(0.0%\);0.0_)%"/>
    <numFmt numFmtId="191" formatCode="0_)"/>
    <numFmt numFmtId="192" formatCode="_-* #,##0\ _F_-;\-* #,##0\ _F_-;_-* &quot;-&quot;\ _F_-;_-@_-"/>
    <numFmt numFmtId="193" formatCode="_-* #,##0.00\ _F_-;\-* #,##0.00\ _F_-;_-* &quot;-&quot;??\ _F_-;_-@_-"/>
    <numFmt numFmtId="194" formatCode="_-* #,##0\ &quot;F&quot;_-;\-* #,##0\ &quot;F&quot;_-;_-* &quot;-&quot;\ &quot;F&quot;_-;_-@_-"/>
    <numFmt numFmtId="195" formatCode="_-* #,##0.00\ &quot;F&quot;_-;\-* #,##0.00\ &quot;F&quot;_-;_-* &quot;-&quot;??\ &quot;F&quot;_-;_-@_-"/>
    <numFmt numFmtId="196" formatCode="_-* #,##0_-;\-* #,##0_-;_-* &quot;-&quot;??_-;_-@_-"/>
    <numFmt numFmtId="197" formatCode="#.0&quot;A&quot;"/>
    <numFmt numFmtId="198" formatCode="#.0&quot;E&quot;"/>
    <numFmt numFmtId="199" formatCode="#,##0.00&quot;£&quot;_);[Red]\(#,##0.00&quot;£&quot;\)"/>
    <numFmt numFmtId="200" formatCode="_ * #,##0_)_£_ ;_ * \(#,##0\)_£_ ;_ * &quot;-&quot;_)_£_ ;_ @_ "/>
    <numFmt numFmtId="201" formatCode="0_);\(0\)"/>
    <numFmt numFmtId="202" formatCode="#,##0.0_);[Red]\(#,##0.0\)"/>
    <numFmt numFmtId="203" formatCode="_*#,##0.00;[Red]_*\(#,##0.00\);_*\-"/>
    <numFmt numFmtId="204" formatCode="[$-F400]h:mm:ss\ AM/PM"/>
    <numFmt numFmtId="205" formatCode="mmm\ dd\,\ yyyy"/>
    <numFmt numFmtId="206" formatCode="_*#,##0;[Red]_*\(#,##0\);_*\-"/>
    <numFmt numFmtId="207" formatCode="#,##0\ &quot;DM&quot;;[Red]\-#,##0\ &quot;DM&quot;"/>
    <numFmt numFmtId="208" formatCode="#,##0.00\ &quot;DM&quot;;[Red]\-#,##0.00\ &quot;DM&quot;"/>
    <numFmt numFmtId="209" formatCode="ddmmmyy"/>
    <numFmt numFmtId="210" formatCode="_ * #,##0_ ;_ * \-#,##0_ ;_ * &quot;-&quot;_ ;_ @_ "/>
    <numFmt numFmtId="211" formatCode="_ * #,##0.00_ ;_ * \-#,##0.00_ ;_ * &quot;-&quot;??_ ;_ @_ "/>
    <numFmt numFmtId="212" formatCode="0.0_);\(0.0\)"/>
    <numFmt numFmtId="213" formatCode="0.000_);\(0.000\)"/>
    <numFmt numFmtId="214" formatCode="_(&quot;$&quot;* #,##0_);_(&quot;$&quot;* \(#,##0\);_(&quot;$&quot;* &quot;-&quot;??_);_(@_)"/>
    <numFmt numFmtId="215" formatCode="&quot;$&quot;#,##0.0000_);\(&quot;$&quot;#,##0.0000\)"/>
    <numFmt numFmtId="216" formatCode="&quot;$&quot;#,##0.00000_);\(&quot;$&quot;#,##0.00000\)"/>
    <numFmt numFmtId="217" formatCode="&quot;$&quot;#,##0.000000_);\(&quot;$&quot;#,##0.000000\)"/>
    <numFmt numFmtId="218" formatCode="&quot;$&quot;#,##0.0000000_);\(&quot;$&quot;#,##0.0000000\)"/>
    <numFmt numFmtId="219" formatCode="&quot;$&quot;#,##0.00000000_);\(&quot;$&quot;#,##0.00000000\)"/>
    <numFmt numFmtId="220" formatCode="0.0000"/>
    <numFmt numFmtId="221" formatCode="0.00000"/>
  </numFmts>
  <fonts count="185">
    <font>
      <sz val="10"/>
      <name val="Arial"/>
      <family val="0"/>
    </font>
    <font>
      <b/>
      <sz val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name val="Univers 45 Light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name val="Palatino"/>
      <family val="1"/>
    </font>
    <font>
      <sz val="10"/>
      <name val="Helv"/>
      <family val="0"/>
    </font>
    <font>
      <sz val="10"/>
      <color indexed="9"/>
      <name val="Arial"/>
      <family val="2"/>
    </font>
    <font>
      <i/>
      <sz val="10"/>
      <color indexed="13"/>
      <name val="Arial"/>
      <family val="2"/>
    </font>
    <font>
      <sz val="10"/>
      <color indexed="13"/>
      <name val="Arial"/>
      <family val="2"/>
    </font>
    <font>
      <b/>
      <sz val="9"/>
      <name val="Arial"/>
      <family val="2"/>
    </font>
    <font>
      <sz val="10"/>
      <color indexed="18"/>
      <name val="Arial"/>
      <family val="2"/>
    </font>
    <font>
      <sz val="12"/>
      <name val="Times New Roman"/>
      <family val="1"/>
    </font>
    <font>
      <sz val="10"/>
      <color indexed="9"/>
      <name val="False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0"/>
      <color indexed="10"/>
      <name val="Arial"/>
      <family val="2"/>
    </font>
    <font>
      <b/>
      <sz val="24"/>
      <color indexed="10"/>
      <name val="Arial"/>
      <family val="2"/>
    </font>
    <font>
      <b/>
      <sz val="18"/>
      <name val="Helv"/>
      <family val="0"/>
    </font>
    <font>
      <sz val="14"/>
      <name val="Helv"/>
      <family val="0"/>
    </font>
    <font>
      <b/>
      <sz val="14"/>
      <name val="Helv"/>
      <family val="0"/>
    </font>
    <font>
      <b/>
      <i/>
      <sz val="16"/>
      <color indexed="10"/>
      <name val="Arial"/>
      <family val="2"/>
    </font>
    <font>
      <b/>
      <sz val="12"/>
      <name val="Palatino"/>
      <family val="1"/>
    </font>
    <font>
      <b/>
      <sz val="10"/>
      <name val="Palatino"/>
      <family val="1"/>
    </font>
    <font>
      <b/>
      <u val="single"/>
      <sz val="10"/>
      <name val="Palatino"/>
      <family val="1"/>
    </font>
    <font>
      <b/>
      <sz val="10"/>
      <name val="MS Sans Serif"/>
      <family val="2"/>
    </font>
    <font>
      <b/>
      <sz val="12"/>
      <name val="Helv"/>
      <family val="0"/>
    </font>
    <font>
      <u val="single"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b/>
      <sz val="8"/>
      <name val="GillSans"/>
      <family val="2"/>
    </font>
    <font>
      <b/>
      <sz val="7"/>
      <name val="Helvetica-Narrow"/>
      <family val="2"/>
    </font>
    <font>
      <b/>
      <sz val="7"/>
      <name val="GillSans"/>
      <family val="2"/>
    </font>
    <font>
      <u val="single"/>
      <sz val="10"/>
      <name val="MS Sans Serif"/>
      <family val="2"/>
    </font>
    <font>
      <sz val="11"/>
      <name val="Tms Rmn"/>
      <family val="0"/>
    </font>
    <font>
      <sz val="12"/>
      <name val="Helv"/>
      <family val="2"/>
    </font>
    <font>
      <sz val="10"/>
      <color indexed="22"/>
      <name val="Arial"/>
      <family val="2"/>
    </font>
    <font>
      <sz val="10"/>
      <name val="Times New Roman"/>
      <family val="1"/>
    </font>
    <font>
      <sz val="12"/>
      <color indexed="21"/>
      <name val="Helv"/>
      <family val="0"/>
    </font>
    <font>
      <sz val="10"/>
      <color indexed="12"/>
      <name val="Arial"/>
      <family val="2"/>
    </font>
    <font>
      <b/>
      <i/>
      <sz val="8"/>
      <color indexed="12"/>
      <name val="Arial"/>
      <family val="2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sz val="10"/>
      <color indexed="12"/>
      <name val="MS Sans Serif"/>
      <family val="2"/>
    </font>
    <font>
      <sz val="9"/>
      <name val="GillSans Light"/>
      <family val="2"/>
    </font>
    <font>
      <sz val="10"/>
      <color indexed="11"/>
      <name val="Geneva"/>
      <family val="0"/>
    </font>
    <font>
      <sz val="7"/>
      <name val="Arial"/>
      <family val="2"/>
    </font>
    <font>
      <b/>
      <sz val="10"/>
      <color indexed="9"/>
      <name val="GillSans"/>
      <family val="2"/>
    </font>
    <font>
      <b/>
      <sz val="10"/>
      <color indexed="8"/>
      <name val="GillSans"/>
      <family val="2"/>
    </font>
    <font>
      <sz val="6"/>
      <color indexed="16"/>
      <name val="Palatino"/>
      <family val="1"/>
    </font>
    <font>
      <b/>
      <sz val="10"/>
      <name val="Helv"/>
      <family val="0"/>
    </font>
    <font>
      <sz val="10"/>
      <name val="Verdana"/>
      <family val="2"/>
    </font>
    <font>
      <sz val="10"/>
      <color indexed="8"/>
      <name val="CG Times"/>
      <family val="1"/>
    </font>
    <font>
      <sz val="10"/>
      <name val="CG Times (WN)"/>
      <family val="1"/>
    </font>
    <font>
      <sz val="8"/>
      <name val="MS Sans Serif"/>
      <family val="2"/>
    </font>
    <font>
      <sz val="8"/>
      <name val="MS Serif"/>
      <family val="1"/>
    </font>
    <font>
      <b/>
      <sz val="18"/>
      <name val="Arial"/>
      <family val="2"/>
    </font>
    <font>
      <sz val="18"/>
      <color indexed="44"/>
      <name val="Arial"/>
      <family val="2"/>
    </font>
    <font>
      <b/>
      <i/>
      <sz val="16"/>
      <name val="Helv"/>
      <family val="0"/>
    </font>
    <font>
      <b/>
      <sz val="16"/>
      <color indexed="18"/>
      <name val="Univers 45 Light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sz val="10"/>
      <color indexed="16"/>
      <name val="Helvetica-Black"/>
      <family val="0"/>
    </font>
    <font>
      <b/>
      <u val="single"/>
      <sz val="14"/>
      <name val="Arial"/>
      <family val="2"/>
    </font>
    <font>
      <sz val="10"/>
      <name val="Geneva"/>
      <family val="2"/>
    </font>
    <font>
      <b/>
      <sz val="12"/>
      <color indexed="56"/>
      <name val="Times New Roman"/>
      <family val="1"/>
    </font>
    <font>
      <i/>
      <sz val="10"/>
      <color indexed="16"/>
      <name val="Arial MT"/>
      <family val="0"/>
    </font>
    <font>
      <sz val="10"/>
      <color indexed="10"/>
      <name val="Geneva"/>
      <family val="0"/>
    </font>
    <font>
      <sz val="10"/>
      <name val="GillSans Light"/>
      <family val="2"/>
    </font>
    <font>
      <b/>
      <sz val="10"/>
      <color indexed="39"/>
      <name val="Arial"/>
      <family val="2"/>
    </font>
    <font>
      <i/>
      <sz val="8"/>
      <color indexed="8"/>
      <name val="Tahoma"/>
      <family val="2"/>
    </font>
    <font>
      <sz val="10"/>
      <color indexed="39"/>
      <name val="Arial"/>
      <family val="2"/>
    </font>
    <font>
      <sz val="9"/>
      <color indexed="8"/>
      <name val="Tahoma"/>
      <family val="2"/>
    </font>
    <font>
      <sz val="19"/>
      <color indexed="48"/>
      <name val="Arial"/>
      <family val="2"/>
    </font>
    <font>
      <b/>
      <sz val="18"/>
      <color indexed="62"/>
      <name val="Cambria"/>
      <family val="2"/>
    </font>
    <font>
      <sz val="8"/>
      <name val="Helv"/>
      <family val="0"/>
    </font>
    <font>
      <b/>
      <sz val="11"/>
      <color indexed="39"/>
      <name val="Arial"/>
      <family val="2"/>
    </font>
    <font>
      <b/>
      <sz val="11"/>
      <color indexed="8"/>
      <name val="Arial"/>
      <family val="2"/>
    </font>
    <font>
      <sz val="9"/>
      <color indexed="39"/>
      <name val="Arial"/>
      <family val="2"/>
    </font>
    <font>
      <b/>
      <sz val="11"/>
      <color indexed="10"/>
      <name val="Arial"/>
      <family val="2"/>
    </font>
    <font>
      <b/>
      <sz val="11"/>
      <color indexed="33"/>
      <name val="Arial"/>
      <family val="2"/>
    </font>
    <font>
      <b/>
      <sz val="11"/>
      <color indexed="9"/>
      <name val="Arial"/>
      <family val="2"/>
    </font>
    <font>
      <b/>
      <sz val="14"/>
      <name val="Arial"/>
      <family val="2"/>
    </font>
    <font>
      <b/>
      <sz val="12"/>
      <color indexed="33"/>
      <name val="Arial"/>
      <family val="2"/>
    </font>
    <font>
      <b/>
      <sz val="10"/>
      <name val="GillSans"/>
      <family val="2"/>
    </font>
    <font>
      <b/>
      <i/>
      <sz val="16"/>
      <name val="Arial"/>
      <family val="2"/>
    </font>
    <font>
      <sz val="9"/>
      <name val="NewsGoth Lt BT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sz val="9"/>
      <name val="Helvetica-Black"/>
      <family val="0"/>
    </font>
    <font>
      <sz val="7"/>
      <name val="Palatino"/>
      <family val="1"/>
    </font>
    <font>
      <b/>
      <sz val="10"/>
      <name val="Helvetica 65"/>
      <family val="2"/>
    </font>
    <font>
      <b/>
      <sz val="9"/>
      <name val="Helvetica 65"/>
      <family val="2"/>
    </font>
    <font>
      <b/>
      <sz val="10"/>
      <color indexed="10"/>
      <name val="MS Sans Serif"/>
      <family val="2"/>
    </font>
    <font>
      <b/>
      <sz val="24"/>
      <color indexed="8"/>
      <name val="Arial"/>
      <family val="2"/>
    </font>
    <font>
      <sz val="8"/>
      <color indexed="16"/>
      <name val="MS Serif"/>
      <family val="1"/>
    </font>
    <font>
      <u val="single"/>
      <sz val="8"/>
      <name val="MS Sans Serif"/>
      <family val="2"/>
    </font>
    <font>
      <b/>
      <sz val="9"/>
      <color indexed="8"/>
      <name val="CG Times"/>
      <family val="1"/>
    </font>
    <font>
      <sz val="10"/>
      <name val="Garamond"/>
      <family val="1"/>
    </font>
    <font>
      <sz val="12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sz val="12"/>
      <name val="ＭＳ 明朝"/>
      <family val="1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b/>
      <sz val="16"/>
      <color indexed="23"/>
      <name val="Arial"/>
      <family val="2"/>
    </font>
    <font>
      <i/>
      <sz val="10"/>
      <color indexed="55"/>
      <name val="Arial"/>
      <family val="2"/>
    </font>
    <font>
      <b/>
      <i/>
      <sz val="10"/>
      <color indexed="55"/>
      <name val="Arial"/>
      <family val="2"/>
    </font>
    <font>
      <b/>
      <sz val="10"/>
      <color indexed="10"/>
      <name val="Arial"/>
      <family val="2"/>
    </font>
    <font>
      <i/>
      <sz val="10"/>
      <color indexed="23"/>
      <name val="Arial"/>
      <family val="2"/>
    </font>
    <font>
      <b/>
      <i/>
      <sz val="10"/>
      <color indexed="23"/>
      <name val="Arial"/>
      <family val="2"/>
    </font>
    <font>
      <b/>
      <i/>
      <sz val="10"/>
      <color indexed="8"/>
      <name val="Arial"/>
      <family val="2"/>
    </font>
    <font>
      <sz val="10"/>
      <name val="Tahoma"/>
      <family val="2"/>
    </font>
    <font>
      <sz val="10"/>
      <name val="Cambria"/>
      <family val="1"/>
    </font>
    <font>
      <sz val="10"/>
      <color indexed="8"/>
      <name val="Cambria"/>
      <family val="1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87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860000610351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darkVertical">
        <bgColor indexed="13"/>
      </patternFill>
    </fill>
    <fill>
      <patternFill patternType="solid">
        <fgColor rgb="FFFFC7CE"/>
        <bgColor indexed="64"/>
      </patternFill>
    </fill>
    <fill>
      <patternFill patternType="mediumGray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6"/>
        <bgColor indexed="26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mediumGray"/>
    </fill>
    <fill>
      <patternFill patternType="solid">
        <fgColor indexed="34"/>
        <bgColor indexed="64"/>
      </patternFill>
    </fill>
    <fill>
      <patternFill patternType="solid">
        <fgColor rgb="FFFFEB9C"/>
        <bgColor indexed="64"/>
      </patternFill>
    </fill>
    <fill>
      <patternFill patternType="gray0625">
        <fgColor indexed="9"/>
        <bgColor indexed="44"/>
      </patternFill>
    </fill>
    <fill>
      <patternFill patternType="gray0625">
        <fgColor indexed="9"/>
        <bgColor indexed="42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2" tint="-0.09984999895095825"/>
        <bgColor indexed="64"/>
      </patternFill>
    </fill>
    <fill>
      <patternFill patternType="solid">
        <fgColor theme="2" tint="-0.24985000491142273"/>
        <bgColor indexed="64"/>
      </patternFill>
    </fill>
    <fill>
      <patternFill patternType="solid">
        <fgColor theme="0" tint="-0.34984999895095825"/>
        <bgColor indexed="64"/>
      </patternFill>
    </fill>
    <fill>
      <patternFill patternType="solid">
        <fgColor theme="3" tint="0.7998600006103516"/>
        <bgColor indexed="64"/>
      </patternFill>
    </fill>
    <fill>
      <patternFill patternType="solid">
        <fgColor rgb="FF00B0F0"/>
        <bgColor indexed="64"/>
      </patternFill>
    </fill>
  </fills>
  <borders count="64">
    <border>
      <left/>
      <right/>
      <top/>
      <bottom/>
      <diagonal/>
    </border>
    <border>
      <left style="thin">
        <color indexed="9"/>
      </left>
      <right style="thin">
        <color indexed="55"/>
      </right>
      <top style="thin">
        <color indexed="9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ashed"/>
      <right style="dashed"/>
      <top style="dashed"/>
      <bottom style="dashed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thick">
        <color indexed="55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</borders>
  <cellStyleXfs count="25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170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49" fontId="37" fillId="4" borderId="0">
      <alignment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49" fontId="37" fillId="4" borderId="0">
      <alignment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49" fontId="37" fillId="4" borderId="0">
      <alignment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0" fillId="3" borderId="0">
      <alignment/>
      <protection/>
    </xf>
    <xf numFmtId="0" fontId="37" fillId="2" borderId="0" applyNumberFormat="0">
      <alignment horizontal="left"/>
      <protection/>
    </xf>
    <xf numFmtId="0" fontId="37" fillId="2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7" borderId="0">
      <alignment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0" fontId="1" fillId="3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0" fontId="37" fillId="6" borderId="0">
      <alignment/>
      <protection/>
    </xf>
    <xf numFmtId="49" fontId="37" fillId="7" borderId="0">
      <alignment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49" fontId="37" fillId="7" borderId="0">
      <alignment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0" fontId="37" fillId="6" borderId="0">
      <alignment/>
      <protection/>
    </xf>
    <xf numFmtId="49" fontId="37" fillId="5" borderId="0" applyNumberFormat="0">
      <alignment horizontal="left"/>
      <protection/>
    </xf>
    <xf numFmtId="49" fontId="37" fillId="5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49" fontId="27" fillId="9" borderId="0">
      <alignment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4" fillId="3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8" fillId="8" borderId="0">
      <alignment/>
      <protection/>
    </xf>
    <xf numFmtId="49" fontId="27" fillId="9" borderId="0">
      <alignment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49" fontId="27" fillId="9" borderId="0">
      <alignment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8" fillId="8" borderId="0">
      <alignment/>
      <protection/>
    </xf>
    <xf numFmtId="0" fontId="37" fillId="4" borderId="0" applyNumberFormat="0">
      <alignment horizontal="left"/>
      <protection/>
    </xf>
    <xf numFmtId="0" fontId="37" fillId="4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0" fontId="7" fillId="3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0" fontId="39" fillId="10" borderId="0">
      <alignment/>
      <protection/>
    </xf>
    <xf numFmtId="49" fontId="37" fillId="9" borderId="0" applyNumberFormat="0">
      <alignment horizontal="left"/>
      <protection/>
    </xf>
    <xf numFmtId="49" fontId="37" fillId="9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8" fillId="3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8" fillId="0" borderId="0">
      <alignment/>
      <protection/>
    </xf>
    <xf numFmtId="0" fontId="37" fillId="11" borderId="0" applyNumberFormat="0">
      <alignment horizontal="left"/>
      <protection/>
    </xf>
    <xf numFmtId="0" fontId="37" fillId="11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40" fillId="3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40" fillId="0" borderId="0">
      <alignment/>
      <protection/>
    </xf>
    <xf numFmtId="0" fontId="37" fillId="12" borderId="0" applyNumberFormat="0">
      <alignment horizontal="left"/>
      <protection/>
    </xf>
    <xf numFmtId="0" fontId="37" fillId="12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32" fillId="3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32" fillId="0" borderId="0">
      <alignment/>
      <protection/>
    </xf>
    <xf numFmtId="0" fontId="27" fillId="13" borderId="0" applyNumberFormat="0">
      <alignment horizontal="left"/>
      <protection/>
    </xf>
    <xf numFmtId="0" fontId="27" fillId="13" borderId="0" applyNumberFormat="0">
      <alignment horizontal="left"/>
      <protection/>
    </xf>
    <xf numFmtId="0" fontId="27" fillId="14" borderId="0" applyNumberFormat="0">
      <alignment horizontal="left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27" fillId="2" borderId="0">
      <alignment/>
      <protection/>
    </xf>
    <xf numFmtId="173" fontId="0" fillId="16" borderId="2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173" fontId="0" fillId="16" borderId="2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27" fillId="2" borderId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27" fillId="2" borderId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0" fillId="16" borderId="0">
      <alignment/>
      <protection/>
    </xf>
    <xf numFmtId="4" fontId="41" fillId="15" borderId="1" applyBorder="0">
      <alignment/>
      <protection/>
    </xf>
    <xf numFmtId="4" fontId="41" fillId="15" borderId="1" applyBorder="0">
      <alignment/>
      <protection/>
    </xf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172" fontId="0" fillId="0" borderId="0">
      <alignment horizontal="left" wrapText="1"/>
      <protection/>
    </xf>
    <xf numFmtId="0" fontId="36" fillId="0" borderId="0">
      <alignment/>
      <protection/>
    </xf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27" fillId="5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" fillId="16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27" fillId="5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27" fillId="5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" fillId="17" borderId="0">
      <alignment/>
      <protection/>
    </xf>
    <xf numFmtId="0" fontId="43" fillId="4" borderId="0">
      <alignment/>
      <protection/>
    </xf>
    <xf numFmtId="0" fontId="43" fillId="4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15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37" fillId="2" borderId="0" applyNumberFormat="0">
      <alignment/>
      <protection/>
    </xf>
    <xf numFmtId="0" fontId="0" fillId="3" borderId="0">
      <alignment/>
      <protection/>
    </xf>
    <xf numFmtId="49" fontId="37" fillId="4" borderId="0">
      <alignment/>
      <protection/>
    </xf>
    <xf numFmtId="0" fontId="0" fillId="3" borderId="0">
      <alignment/>
      <protection/>
    </xf>
    <xf numFmtId="0" fontId="37" fillId="2" borderId="0" applyNumberFormat="0">
      <alignment/>
      <protection/>
    </xf>
    <xf numFmtId="0" fontId="37" fillId="2" borderId="0" applyNumberFormat="0">
      <alignment/>
      <protection/>
    </xf>
    <xf numFmtId="0" fontId="0" fillId="3" borderId="0">
      <alignment/>
      <protection/>
    </xf>
    <xf numFmtId="0" fontId="37" fillId="2" borderId="0" applyNumberFormat="0">
      <alignment/>
      <protection/>
    </xf>
    <xf numFmtId="0" fontId="0" fillId="3" borderId="0">
      <alignment/>
      <protection/>
    </xf>
    <xf numFmtId="0" fontId="0" fillId="3" borderId="0">
      <alignment/>
      <protection/>
    </xf>
    <xf numFmtId="0" fontId="37" fillId="2" borderId="0" applyNumberFormat="0">
      <alignment/>
      <protection/>
    </xf>
    <xf numFmtId="0" fontId="0" fillId="3" borderId="0">
      <alignment/>
      <protection/>
    </xf>
    <xf numFmtId="0" fontId="37" fillId="2" borderId="0" applyNumberFormat="0">
      <alignment/>
      <protection/>
    </xf>
    <xf numFmtId="49" fontId="37" fillId="4" borderId="0">
      <alignment/>
      <protection/>
    </xf>
    <xf numFmtId="49" fontId="37" fillId="4" borderId="0">
      <alignment/>
      <protection/>
    </xf>
    <xf numFmtId="0" fontId="37" fillId="2" borderId="0" applyNumberFormat="0">
      <alignment/>
      <protection/>
    </xf>
    <xf numFmtId="0" fontId="37" fillId="2" borderId="0" applyNumberFormat="0">
      <alignment/>
      <protection/>
    </xf>
    <xf numFmtId="0" fontId="0" fillId="10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49" fontId="37" fillId="7" borderId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1" fillId="3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49" fontId="37" fillId="7" borderId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49" fontId="37" fillId="7" borderId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6" borderId="0">
      <alignment/>
      <protection/>
    </xf>
    <xf numFmtId="0" fontId="37" fillId="5" borderId="0" applyNumberFormat="0">
      <alignment/>
      <protection/>
    </xf>
    <xf numFmtId="0" fontId="37" fillId="5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49" fontId="27" fillId="9" borderId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4" fillId="3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49" fontId="27" fillId="9" borderId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49" fontId="27" fillId="9" borderId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8" fillId="8" borderId="0">
      <alignment/>
      <protection/>
    </xf>
    <xf numFmtId="0" fontId="37" fillId="4" borderId="0" applyNumberFormat="0">
      <alignment/>
      <protection/>
    </xf>
    <xf numFmtId="0" fontId="37" fillId="4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49" fontId="27" fillId="11" borderId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0" fillId="3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49" fontId="27" fillId="11" borderId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49" fontId="27" fillId="11" borderId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9" fillId="10" borderId="0">
      <alignment/>
      <protection/>
    </xf>
    <xf numFmtId="0" fontId="37" fillId="9" borderId="0" applyNumberFormat="0">
      <alignment/>
      <protection/>
    </xf>
    <xf numFmtId="0" fontId="37" fillId="9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8" fillId="3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8" fillId="0" borderId="0">
      <alignment/>
      <protection/>
    </xf>
    <xf numFmtId="0" fontId="37" fillId="11" borderId="0" applyNumberFormat="0">
      <alignment/>
      <protection/>
    </xf>
    <xf numFmtId="0" fontId="37" fillId="11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40" fillId="3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40" fillId="0" borderId="0">
      <alignment/>
      <protection/>
    </xf>
    <xf numFmtId="0" fontId="37" fillId="12" borderId="0" applyNumberFormat="0">
      <alignment/>
      <protection/>
    </xf>
    <xf numFmtId="0" fontId="37" fillId="12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32" fillId="3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32" fillId="0" borderId="0">
      <alignment/>
      <protection/>
    </xf>
    <xf numFmtId="0" fontId="27" fillId="13" borderId="0" applyNumberFormat="0">
      <alignment/>
      <protection/>
    </xf>
    <xf numFmtId="0" fontId="27" fillId="13" borderId="0" applyNumberFormat="0">
      <alignment/>
      <protection/>
    </xf>
    <xf numFmtId="0" fontId="27" fillId="14" borderId="0" applyNumberFormat="0" applyProtection="0">
      <alignment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0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37" fillId="5" borderId="0">
      <alignment/>
      <protection/>
    </xf>
    <xf numFmtId="172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 horizontal="left" wrapText="1"/>
      <protection/>
    </xf>
    <xf numFmtId="172" fontId="0" fillId="0" borderId="0">
      <alignment horizontal="left" wrapText="1"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2" fontId="32" fillId="0" borderId="3" applyBorder="0">
      <alignment horizontal="right" vertical="center" wrapText="1"/>
      <protection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6" borderId="0" applyNumberFormat="0" applyBorder="0" applyAlignment="0" applyProtection="0"/>
    <xf numFmtId="0" fontId="9" fillId="2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9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44" fillId="19" borderId="0" applyNumberFormat="0" applyBorder="0" applyAlignment="0" applyProtection="0"/>
    <xf numFmtId="0" fontId="44" fillId="22" borderId="0" applyNumberFormat="0" applyBorder="0" applyAlignment="0" applyProtection="0"/>
    <xf numFmtId="0" fontId="44" fillId="24" borderId="0" applyNumberFormat="0" applyBorder="0" applyAlignment="0" applyProtection="0"/>
    <xf numFmtId="0" fontId="44" fillId="27" borderId="0" applyNumberFormat="0" applyBorder="0" applyAlignment="0" applyProtection="0"/>
    <xf numFmtId="0" fontId="44" fillId="17" borderId="0" applyNumberFormat="0" applyBorder="0" applyAlignment="0" applyProtection="0"/>
    <xf numFmtId="0" fontId="44" fillId="15" borderId="0" applyNumberFormat="0" applyBorder="0" applyAlignment="0" applyProtection="0"/>
    <xf numFmtId="2" fontId="32" fillId="0" borderId="4" applyBorder="0">
      <alignment horizontal="right" vertical="center" wrapText="1"/>
      <protection locked="0"/>
    </xf>
    <xf numFmtId="2" fontId="32" fillId="0" borderId="4" applyBorder="0">
      <alignment horizontal="right" vertical="center" wrapText="1"/>
      <protection locked="0"/>
    </xf>
    <xf numFmtId="0" fontId="9" fillId="30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2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7" borderId="0" applyNumberFormat="0" applyBorder="0" applyAlignment="0" applyProtection="0"/>
    <xf numFmtId="0" fontId="9" fillId="27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1" borderId="0" applyNumberFormat="0" applyBorder="0" applyAlignment="0" applyProtection="0"/>
    <xf numFmtId="0" fontId="9" fillId="31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7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38" borderId="0" applyNumberFormat="0" applyBorder="0" applyAlignment="0" applyProtection="0"/>
    <xf numFmtId="0" fontId="9" fillId="38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4" fillId="31" borderId="0" applyNumberFormat="0" applyBorder="0" applyAlignment="0" applyProtection="0"/>
    <xf numFmtId="0" fontId="44" fillId="21" borderId="0" applyNumberFormat="0" applyBorder="0" applyAlignment="0" applyProtection="0"/>
    <xf numFmtId="0" fontId="44" fillId="4" borderId="0" applyNumberFormat="0" applyBorder="0" applyAlignment="0" applyProtection="0"/>
    <xf numFmtId="0" fontId="44" fillId="27" borderId="0" applyNumberFormat="0" applyBorder="0" applyAlignment="0" applyProtection="0"/>
    <xf numFmtId="0" fontId="44" fillId="31" borderId="0" applyNumberFormat="0" applyBorder="0" applyAlignment="0" applyProtection="0"/>
    <xf numFmtId="0" fontId="44" fillId="38" borderId="0" applyNumberFormat="0" applyBorder="0" applyAlignment="0" applyProtection="0"/>
    <xf numFmtId="2" fontId="32" fillId="0" borderId="5" applyBorder="0">
      <alignment horizontal="right" vertical="center" wrapText="1"/>
      <protection locked="0"/>
    </xf>
    <xf numFmtId="0" fontId="10" fillId="3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42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4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45" fillId="40" borderId="0" applyNumberFormat="0" applyBorder="0" applyAlignment="0" applyProtection="0"/>
    <xf numFmtId="0" fontId="45" fillId="21" borderId="0" applyNumberFormat="0" applyBorder="0" applyAlignment="0" applyProtection="0"/>
    <xf numFmtId="0" fontId="45" fillId="4" borderId="0" applyNumberFormat="0" applyBorder="0" applyAlignment="0" applyProtection="0"/>
    <xf numFmtId="0" fontId="45" fillId="44" borderId="0" applyNumberFormat="0" applyBorder="0" applyAlignment="0" applyProtection="0"/>
    <xf numFmtId="0" fontId="45" fillId="46" borderId="0" applyNumberFormat="0" applyBorder="0" applyAlignment="0" applyProtection="0"/>
    <xf numFmtId="0" fontId="45" fillId="48" borderId="0" applyNumberFormat="0" applyBorder="0" applyAlignment="0" applyProtection="0"/>
    <xf numFmtId="174" fontId="46" fillId="0" borderId="0" applyBorder="0" applyAlignment="0">
      <protection/>
    </xf>
    <xf numFmtId="174" fontId="0" fillId="0" borderId="0" applyBorder="0" applyAlignment="0">
      <protection/>
    </xf>
    <xf numFmtId="0" fontId="47" fillId="3" borderId="0" applyNumberFormat="0" applyFont="0" applyBorder="0" applyAlignment="0" applyProtection="0"/>
    <xf numFmtId="0" fontId="0" fillId="0" borderId="0" applyNumberFormat="0" applyFill="0" applyBorder="0" applyAlignment="0" applyProtection="0"/>
    <xf numFmtId="37" fontId="48" fillId="0" borderId="0">
      <alignment/>
      <protection/>
    </xf>
    <xf numFmtId="37" fontId="49" fillId="0" borderId="0">
      <alignment/>
      <protection/>
    </xf>
    <xf numFmtId="37" fontId="50" fillId="0" borderId="0">
      <alignment/>
      <protection/>
    </xf>
    <xf numFmtId="0" fontId="10" fillId="49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10" fillId="50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2" borderId="0" applyNumberFormat="0" applyBorder="0" applyAlignment="0" applyProtection="0"/>
    <xf numFmtId="0" fontId="9" fillId="12" borderId="0" applyNumberFormat="0" applyBorder="0" applyAlignment="0" applyProtection="0"/>
    <xf numFmtId="0" fontId="9" fillId="22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3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10" fillId="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56" borderId="0" applyNumberFormat="0" applyBorder="0" applyAlignment="0" applyProtection="0"/>
    <xf numFmtId="0" fontId="9" fillId="55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57" borderId="0" applyNumberFormat="0" applyBorder="0" applyAlignment="0" applyProtection="0"/>
    <xf numFmtId="0" fontId="9" fillId="31" borderId="0" applyNumberFormat="0" applyBorder="0" applyAlignment="0" applyProtection="0"/>
    <xf numFmtId="0" fontId="9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58" borderId="0" applyNumberFormat="0" applyBorder="0" applyAlignment="0" applyProtection="0"/>
    <xf numFmtId="0" fontId="9" fillId="16" borderId="0" applyNumberFormat="0" applyBorder="0" applyAlignment="0" applyProtection="0"/>
    <xf numFmtId="0" fontId="9" fillId="22" borderId="0" applyNumberFormat="0" applyBorder="0" applyAlignment="0" applyProtection="0"/>
    <xf numFmtId="0" fontId="10" fillId="15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59" borderId="0" applyNumberFormat="0" applyBorder="0" applyAlignment="0" applyProtection="0"/>
    <xf numFmtId="0" fontId="10" fillId="59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0" fillId="0" borderId="0">
      <alignment/>
      <protection/>
    </xf>
    <xf numFmtId="37" fontId="0" fillId="0" borderId="0">
      <alignment/>
      <protection/>
    </xf>
    <xf numFmtId="0" fontId="32" fillId="0" borderId="0">
      <alignment/>
      <protection/>
    </xf>
    <xf numFmtId="0" fontId="51" fillId="60" borderId="0" applyNumberFormat="0" applyBorder="0" applyProtection="0">
      <alignment/>
    </xf>
    <xf numFmtId="0" fontId="0" fillId="0" borderId="0">
      <alignment/>
      <protection/>
    </xf>
    <xf numFmtId="0" fontId="1" fillId="16" borderId="0" applyNumberFormat="0" applyFont="0" applyAlignment="0" applyProtection="0"/>
    <xf numFmtId="0" fontId="173" fillId="61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52" fillId="0" borderId="0" applyNumberFormat="0">
      <alignment/>
      <protection/>
    </xf>
    <xf numFmtId="0" fontId="53" fillId="0" borderId="6">
      <alignment/>
      <protection/>
    </xf>
    <xf numFmtId="0" fontId="54" fillId="0" borderId="0" applyNumberFormat="0">
      <alignment/>
      <protection/>
    </xf>
    <xf numFmtId="5" fontId="55" fillId="0" borderId="7" applyAlignment="0" applyProtection="0"/>
    <xf numFmtId="37" fontId="56" fillId="0" borderId="8" applyNumberFormat="0" applyFont="0" applyFill="0" applyAlignment="0" applyProtection="0"/>
    <xf numFmtId="37" fontId="56" fillId="0" borderId="7" applyNumberFormat="0" applyFont="0" applyFill="0" applyAlignment="0" applyProtection="0"/>
    <xf numFmtId="38" fontId="0" fillId="14" borderId="9">
      <alignment vertical="top"/>
      <protection/>
    </xf>
    <xf numFmtId="38" fontId="0" fillId="24" borderId="0">
      <alignment/>
      <protection/>
    </xf>
    <xf numFmtId="1" fontId="57" fillId="24" borderId="0">
      <alignment horizontal="center" vertical="center" wrapText="1"/>
      <protection/>
    </xf>
    <xf numFmtId="175" fontId="0" fillId="0" borderId="0" applyFill="0" applyBorder="0" applyAlignment="0">
      <protection/>
    </xf>
    <xf numFmtId="3" fontId="0" fillId="62" borderId="0">
      <alignment horizontal="center" vertical="center"/>
      <protection/>
    </xf>
    <xf numFmtId="0" fontId="174" fillId="63" borderId="10" applyNumberFormat="0" applyAlignment="0" applyProtection="0"/>
    <xf numFmtId="0" fontId="152" fillId="26" borderId="11" applyNumberFormat="0" applyAlignment="0" applyProtection="0"/>
    <xf numFmtId="0" fontId="152" fillId="26" borderId="11" applyNumberFormat="0" applyAlignment="0" applyProtection="0"/>
    <xf numFmtId="0" fontId="152" fillId="26" borderId="11" applyNumberFormat="0" applyAlignment="0" applyProtection="0"/>
    <xf numFmtId="0" fontId="12" fillId="3" borderId="11" applyNumberFormat="0" applyAlignment="0" applyProtection="0"/>
    <xf numFmtId="0" fontId="12" fillId="3" borderId="11" applyNumberFormat="0" applyAlignment="0" applyProtection="0"/>
    <xf numFmtId="0" fontId="152" fillId="26" borderId="11" applyNumberFormat="0" applyAlignment="0" applyProtection="0"/>
    <xf numFmtId="0" fontId="152" fillId="26" borderId="11" applyNumberFormat="0" applyAlignment="0" applyProtection="0"/>
    <xf numFmtId="0" fontId="152" fillId="26" borderId="11" applyNumberFormat="0" applyAlignment="0" applyProtection="0"/>
    <xf numFmtId="0" fontId="152" fillId="26" borderId="11" applyNumberFormat="0" applyAlignment="0" applyProtection="0"/>
    <xf numFmtId="0" fontId="152" fillId="26" borderId="11" applyNumberFormat="0" applyAlignment="0" applyProtection="0"/>
    <xf numFmtId="0" fontId="152" fillId="26" borderId="11" applyNumberFormat="0" applyAlignment="0" applyProtection="0"/>
    <xf numFmtId="176" fontId="0" fillId="0" borderId="0" applyFont="0" applyFill="0" applyBorder="0" applyAlignment="0" applyProtection="0"/>
    <xf numFmtId="10" fontId="58" fillId="0" borderId="0" applyNumberFormat="0" applyBorder="0">
      <alignment/>
      <protection/>
    </xf>
    <xf numFmtId="0" fontId="13" fillId="64" borderId="12" applyNumberFormat="0" applyAlignment="0" applyProtection="0"/>
    <xf numFmtId="0" fontId="13" fillId="65" borderId="13" applyNumberFormat="0" applyAlignment="0" applyProtection="0"/>
    <xf numFmtId="0" fontId="13" fillId="65" borderId="13" applyNumberFormat="0" applyAlignment="0" applyProtection="0"/>
    <xf numFmtId="0" fontId="13" fillId="65" borderId="13" applyNumberFormat="0" applyAlignment="0" applyProtection="0"/>
    <xf numFmtId="0" fontId="13" fillId="6" borderId="13" applyNumberFormat="0" applyAlignment="0" applyProtection="0"/>
    <xf numFmtId="0" fontId="13" fillId="6" borderId="13" applyNumberFormat="0" applyAlignment="0" applyProtection="0"/>
    <xf numFmtId="0" fontId="13" fillId="65" borderId="13" applyNumberFormat="0" applyAlignment="0" applyProtection="0"/>
    <xf numFmtId="0" fontId="13" fillId="65" borderId="13" applyNumberFormat="0" applyAlignment="0" applyProtection="0"/>
    <xf numFmtId="0" fontId="13" fillId="65" borderId="13" applyNumberFormat="0" applyAlignment="0" applyProtection="0"/>
    <xf numFmtId="0" fontId="13" fillId="65" borderId="13" applyNumberFormat="0" applyAlignment="0" applyProtection="0"/>
    <xf numFmtId="0" fontId="13" fillId="65" borderId="13" applyNumberFormat="0" applyAlignment="0" applyProtection="0"/>
    <xf numFmtId="0" fontId="13" fillId="65" borderId="13" applyNumberFormat="0" applyAlignment="0" applyProtection="0"/>
    <xf numFmtId="0" fontId="59" fillId="62" borderId="14" applyFont="0" applyFill="0" applyBorder="0">
      <alignment/>
      <protection/>
    </xf>
    <xf numFmtId="0" fontId="32" fillId="0" borderId="15">
      <alignment/>
      <protection/>
    </xf>
    <xf numFmtId="0" fontId="60" fillId="0" borderId="6" applyNumberFormat="0" applyFill="0" applyProtection="0">
      <alignment horizontal="left" vertical="center"/>
    </xf>
    <xf numFmtId="0" fontId="61" fillId="0" borderId="16" applyNumberFormat="0" applyFill="0" applyProtection="0">
      <alignment horizontal="center" vertical="center"/>
    </xf>
    <xf numFmtId="0" fontId="62" fillId="0" borderId="6" applyNumberFormat="0" applyFill="0" applyBorder="0" applyProtection="0">
      <alignment horizontal="right" vertical="center"/>
    </xf>
    <xf numFmtId="37" fontId="1" fillId="0" borderId="0" applyNumberFormat="0" applyFill="0" applyBorder="0" applyProtection="0">
      <alignment horizontal="right" wrapText="1"/>
    </xf>
    <xf numFmtId="1" fontId="63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177" fontId="64" fillId="0" borderId="0">
      <alignment/>
      <protection/>
    </xf>
    <xf numFmtId="177" fontId="64" fillId="0" borderId="0">
      <alignment/>
      <protection/>
    </xf>
    <xf numFmtId="177" fontId="64" fillId="0" borderId="0">
      <alignment/>
      <protection/>
    </xf>
    <xf numFmtId="177" fontId="64" fillId="0" borderId="0">
      <alignment/>
      <protection/>
    </xf>
    <xf numFmtId="177" fontId="64" fillId="0" borderId="0">
      <alignment/>
      <protection/>
    </xf>
    <xf numFmtId="177" fontId="64" fillId="0" borderId="0">
      <alignment/>
      <protection/>
    </xf>
    <xf numFmtId="177" fontId="64" fillId="0" borderId="0">
      <alignment/>
      <protection/>
    </xf>
    <xf numFmtId="177" fontId="64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4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6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81" fontId="0" fillId="0" borderId="0" applyFont="0" applyFill="0" applyBorder="0" applyAlignment="0" applyProtection="0"/>
    <xf numFmtId="14" fontId="1" fillId="0" borderId="0" applyFill="0" applyBorder="0" applyAlignment="0" applyProtection="0"/>
    <xf numFmtId="17" fontId="67" fillId="0" borderId="0">
      <alignment/>
      <protection/>
    </xf>
    <xf numFmtId="182" fontId="68" fillId="0" borderId="0" applyAlignment="0">
      <protection/>
    </xf>
    <xf numFmtId="0" fontId="42" fillId="66" borderId="0" applyNumberFormat="0" applyBorder="0" applyAlignment="0">
      <protection/>
    </xf>
    <xf numFmtId="37" fontId="69" fillId="0" borderId="0">
      <alignment/>
      <protection/>
    </xf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183" fontId="55" fillId="0" borderId="0">
      <alignment/>
      <protection/>
    </xf>
    <xf numFmtId="8" fontId="0" fillId="0" borderId="17" applyNumberFormat="0" applyFont="0" applyFill="0" applyAlignment="0" applyProtection="0"/>
    <xf numFmtId="184" fontId="70" fillId="0" borderId="18" applyNumberFormat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24" fillId="69" borderId="0" applyNumberFormat="0" applyBorder="0" applyAlignment="0" applyProtection="0"/>
    <xf numFmtId="185" fontId="0" fillId="0" borderId="0" applyFont="0" applyFill="0" applyBorder="0" applyAlignment="0" applyProtection="0"/>
    <xf numFmtId="38" fontId="32" fillId="3" borderId="0">
      <alignment/>
      <protection/>
    </xf>
    <xf numFmtId="0" fontId="17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6" borderId="0" applyNumberFormat="0" applyFont="0" applyBorder="0" applyAlignment="0" applyProtection="0"/>
    <xf numFmtId="0" fontId="71" fillId="0" borderId="0" applyNumberFormat="0" applyFill="0" applyBorder="0" applyAlignment="0" applyProtection="0"/>
    <xf numFmtId="186" fontId="72" fillId="0" borderId="0" applyFill="0" applyBorder="0">
      <alignment/>
      <protection/>
    </xf>
    <xf numFmtId="15" fontId="27" fillId="0" borderId="0" applyFill="0" applyBorder="0" applyProtection="0">
      <alignment horizontal="center"/>
    </xf>
    <xf numFmtId="0" fontId="42" fillId="22" borderId="0" applyNumberFormat="0" applyFont="0" applyBorder="0" applyAlignment="0" applyProtection="0"/>
    <xf numFmtId="187" fontId="73" fillId="3" borderId="4" applyAlignment="0" applyProtection="0"/>
    <xf numFmtId="188" fontId="74" fillId="0" borderId="0" applyNumberFormat="0" applyFill="0" applyBorder="0" applyAlignment="0" applyProtection="0"/>
    <xf numFmtId="188" fontId="29" fillId="0" borderId="0" applyNumberFormat="0" applyFill="0" applyBorder="0" applyAlignment="0" applyProtection="0"/>
    <xf numFmtId="15" fontId="69" fillId="70" borderId="19">
      <alignment horizontal="center"/>
      <protection locked="0"/>
    </xf>
    <xf numFmtId="189" fontId="69" fillId="70" borderId="19" applyAlignment="0">
      <protection locked="0"/>
    </xf>
    <xf numFmtId="188" fontId="69" fillId="70" borderId="19" applyAlignment="0">
      <protection locked="0"/>
    </xf>
    <xf numFmtId="188" fontId="27" fillId="0" borderId="0" applyFill="0" applyBorder="0" applyAlignment="0" applyProtection="0"/>
    <xf numFmtId="189" fontId="27" fillId="0" borderId="0" applyFill="0" applyBorder="0" applyAlignment="0" applyProtection="0"/>
    <xf numFmtId="190" fontId="27" fillId="0" borderId="0" applyFill="0" applyBorder="0" applyAlignment="0" applyProtection="0"/>
    <xf numFmtId="0" fontId="42" fillId="0" borderId="20" applyNumberFormat="0" applyFont="0" applyAlignment="0" applyProtection="0"/>
    <xf numFmtId="0" fontId="42" fillId="0" borderId="21" applyNumberFormat="0" applyFont="0" applyAlignment="0" applyProtection="0"/>
    <xf numFmtId="0" fontId="42" fillId="4" borderId="0" applyNumberFormat="0" applyFont="0" applyBorder="0" applyAlignment="0" applyProtection="0"/>
    <xf numFmtId="2" fontId="66" fillId="0" borderId="0" applyFont="0" applyFill="0" applyBorder="0" applyAlignment="0" applyProtection="0"/>
    <xf numFmtId="1" fontId="75" fillId="0" borderId="0">
      <alignment/>
      <protection/>
    </xf>
    <xf numFmtId="0" fontId="3" fillId="0" borderId="0" applyNumberFormat="0" applyFill="0" applyBorder="0" applyAlignment="0" applyProtection="0"/>
    <xf numFmtId="0" fontId="76" fillId="0" borderId="0" applyNumberFormat="0" applyFill="0" applyBorder="0" applyProtection="0">
      <alignment horizontal="left" vertical="center"/>
    </xf>
    <xf numFmtId="38" fontId="0" fillId="16" borderId="0">
      <alignment vertical="top"/>
      <protection/>
    </xf>
    <xf numFmtId="0" fontId="42" fillId="0" borderId="0" applyFont="0" applyFill="0" applyBorder="0" applyAlignment="0" applyProtection="0"/>
    <xf numFmtId="0" fontId="176" fillId="71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15" fillId="72" borderId="0" applyNumberFormat="0" applyBorder="0" applyAlignment="0" applyProtection="0"/>
    <xf numFmtId="0" fontId="77" fillId="0" borderId="0">
      <alignment/>
      <protection/>
    </xf>
    <xf numFmtId="38" fontId="32" fillId="3" borderId="0" applyNumberFormat="0" applyBorder="0" applyAlignment="0" applyProtection="0"/>
    <xf numFmtId="49" fontId="78" fillId="0" borderId="0">
      <alignment horizontal="right"/>
      <protection/>
    </xf>
    <xf numFmtId="49" fontId="78" fillId="0" borderId="0">
      <alignment horizontal="right"/>
      <protection/>
    </xf>
    <xf numFmtId="191" fontId="0" fillId="0" borderId="0" applyFont="0" applyFill="0" applyBorder="0" applyAlignment="0" applyProtection="0"/>
    <xf numFmtId="169" fontId="1" fillId="16" borderId="0">
      <alignment horizontal="center" vertical="top"/>
      <protection/>
    </xf>
    <xf numFmtId="0" fontId="79" fillId="73" borderId="0" applyNumberFormat="0" applyBorder="0" applyProtection="0">
      <alignment horizontal="left" vertical="center"/>
    </xf>
    <xf numFmtId="0" fontId="80" fillId="1" borderId="0" applyNumberFormat="0" applyBorder="0" applyProtection="0">
      <alignment horizontal="left" vertical="center"/>
    </xf>
    <xf numFmtId="0" fontId="81" fillId="0" borderId="0" applyProtection="0">
      <alignment horizontal="right"/>
    </xf>
    <xf numFmtId="0" fontId="31" fillId="0" borderId="22" applyNumberFormat="0" applyAlignment="0" applyProtection="0"/>
    <xf numFmtId="0" fontId="31" fillId="0" borderId="4">
      <alignment horizontal="left" vertical="center"/>
      <protection/>
    </xf>
    <xf numFmtId="0" fontId="177" fillId="0" borderId="23" applyNumberFormat="0" applyFill="0" applyAlignment="0" applyProtection="0"/>
    <xf numFmtId="0" fontId="153" fillId="0" borderId="24" applyNumberFormat="0" applyFill="0" applyAlignment="0" applyProtection="0"/>
    <xf numFmtId="0" fontId="153" fillId="0" borderId="24" applyNumberFormat="0" applyFill="0" applyAlignment="0" applyProtection="0"/>
    <xf numFmtId="0" fontId="15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53" fillId="0" borderId="24" applyNumberFormat="0" applyFill="0" applyAlignment="0" applyProtection="0"/>
    <xf numFmtId="0" fontId="153" fillId="0" borderId="24" applyNumberFormat="0" applyFill="0" applyAlignment="0" applyProtection="0"/>
    <xf numFmtId="0" fontId="153" fillId="0" borderId="24" applyNumberFormat="0" applyFill="0" applyAlignment="0" applyProtection="0"/>
    <xf numFmtId="0" fontId="153" fillId="0" borderId="24" applyNumberFormat="0" applyFill="0" applyAlignment="0" applyProtection="0"/>
    <xf numFmtId="0" fontId="153" fillId="0" borderId="24" applyNumberFormat="0" applyFill="0" applyAlignment="0" applyProtection="0"/>
    <xf numFmtId="0" fontId="153" fillId="0" borderId="24" applyNumberFormat="0" applyFill="0" applyAlignment="0" applyProtection="0"/>
    <xf numFmtId="0" fontId="178" fillId="0" borderId="26" applyNumberFormat="0" applyFill="0" applyAlignment="0" applyProtection="0"/>
    <xf numFmtId="0" fontId="154" fillId="0" borderId="27" applyNumberFormat="0" applyFill="0" applyAlignment="0" applyProtection="0"/>
    <xf numFmtId="0" fontId="154" fillId="0" borderId="27" applyNumberFormat="0" applyFill="0" applyAlignment="0" applyProtection="0"/>
    <xf numFmtId="0" fontId="154" fillId="0" borderId="27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54" fillId="0" borderId="27" applyNumberFormat="0" applyFill="0" applyAlignment="0" applyProtection="0"/>
    <xf numFmtId="0" fontId="154" fillId="0" borderId="27" applyNumberFormat="0" applyFill="0" applyAlignment="0" applyProtection="0"/>
    <xf numFmtId="0" fontId="154" fillId="0" borderId="27" applyNumberFormat="0" applyFill="0" applyAlignment="0" applyProtection="0"/>
    <xf numFmtId="0" fontId="154" fillId="0" borderId="27" applyNumberFormat="0" applyFill="0" applyAlignment="0" applyProtection="0"/>
    <xf numFmtId="0" fontId="154" fillId="0" borderId="27" applyNumberFormat="0" applyFill="0" applyAlignment="0" applyProtection="0"/>
    <xf numFmtId="0" fontId="154" fillId="0" borderId="27" applyNumberFormat="0" applyFill="0" applyAlignment="0" applyProtection="0"/>
    <xf numFmtId="0" fontId="179" fillId="0" borderId="29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8" fillId="0" borderId="31" applyNumberFormat="0" applyFill="0" applyAlignment="0" applyProtection="0"/>
    <xf numFmtId="0" fontId="18" fillId="0" borderId="31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55" fillId="0" borderId="30" applyNumberFormat="0" applyFill="0" applyAlignment="0" applyProtection="0"/>
    <xf numFmtId="0" fontId="179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59" fillId="31" borderId="0" applyNumberFormat="0" applyBorder="0" applyAlignment="0">
      <protection/>
    </xf>
    <xf numFmtId="37" fontId="82" fillId="0" borderId="0" applyNumberFormat="0" applyFill="0" applyBorder="0" applyAlignment="0" applyProtection="0"/>
    <xf numFmtId="37" fontId="56" fillId="0" borderId="0" applyNumberFormat="0" applyFill="0" applyBorder="0" applyAlignment="0" applyProtection="0"/>
    <xf numFmtId="0" fontId="58" fillId="0" borderId="0">
      <alignment/>
      <protection/>
    </xf>
    <xf numFmtId="38" fontId="0" fillId="74" borderId="0">
      <alignment/>
      <protection/>
    </xf>
    <xf numFmtId="0" fontId="2" fillId="0" borderId="0" applyNumberFormat="0" applyFill="0" applyBorder="0" applyAlignment="0" applyProtection="0"/>
    <xf numFmtId="0" fontId="180" fillId="15" borderId="10" applyNumberFormat="0" applyAlignment="0" applyProtection="0"/>
    <xf numFmtId="38" fontId="83" fillId="24" borderId="9">
      <alignment/>
      <protection locked="0"/>
    </xf>
    <xf numFmtId="10" fontId="32" fillId="16" borderId="9" applyNumberFormat="0" applyBorder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0" fontId="19" fillId="15" borderId="11" applyNumberFormat="0" applyAlignment="0" applyProtection="0"/>
    <xf numFmtId="3" fontId="84" fillId="70" borderId="9">
      <alignment horizontal="right" vertical="center"/>
      <protection locked="0"/>
    </xf>
    <xf numFmtId="0" fontId="85" fillId="0" borderId="9" applyFill="0" applyProtection="0">
      <alignment/>
    </xf>
    <xf numFmtId="0" fontId="86" fillId="4" borderId="0" applyNumberFormat="0" applyFont="0" applyBorder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1" fillId="0" borderId="32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20" fillId="0" borderId="34" applyNumberFormat="0" applyFill="0" applyAlignment="0" applyProtection="0"/>
    <xf numFmtId="0" fontId="20" fillId="0" borderId="34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156" fillId="0" borderId="33" applyNumberFormat="0" applyFill="0" applyAlignment="0" applyProtection="0"/>
    <xf numFmtId="0" fontId="58" fillId="12" borderId="15">
      <alignment horizontal="left"/>
      <protection locked="0"/>
    </xf>
    <xf numFmtId="2" fontId="87" fillId="0" borderId="0">
      <alignment/>
      <protection/>
    </xf>
    <xf numFmtId="37" fontId="88" fillId="0" borderId="0" applyNumberFormat="0" applyFill="0" applyBorder="0" applyProtection="0">
      <alignment/>
    </xf>
    <xf numFmtId="38" fontId="89" fillId="72" borderId="0">
      <alignment horizontal="center"/>
      <protection/>
    </xf>
    <xf numFmtId="4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" fontId="1" fillId="0" borderId="0" applyFill="0" applyBorder="0" applyAlignment="0" applyProtection="0"/>
    <xf numFmtId="0" fontId="32" fillId="54" borderId="0" applyNumberFormat="0" applyFont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182" fillId="75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0" fontId="21" fillId="70" borderId="0" applyNumberFormat="0" applyBorder="0" applyAlignment="0" applyProtection="0"/>
    <xf numFmtId="182" fontId="9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97" fontId="36" fillId="0" borderId="0" applyBorder="0">
      <alignment horizontal="center"/>
      <protection/>
    </xf>
    <xf numFmtId="198" fontId="36" fillId="0" borderId="0" applyBorder="0">
      <alignment horizontal="center"/>
      <protection/>
    </xf>
    <xf numFmtId="39" fontId="0" fillId="0" borderId="0">
      <alignment/>
      <protection/>
    </xf>
    <xf numFmtId="0" fontId="91" fillId="0" borderId="0">
      <alignment/>
      <protection/>
    </xf>
    <xf numFmtId="198" fontId="36" fillId="0" borderId="0" applyBorder="0">
      <alignment horizontal="center"/>
      <protection/>
    </xf>
    <xf numFmtId="0" fontId="0" fillId="16" borderId="35" applyNumberFormat="0" applyFont="0" applyAlignment="0" applyProtection="0"/>
    <xf numFmtId="0" fontId="0" fillId="16" borderId="11" applyNumberFormat="0" applyFont="0" applyAlignment="0" applyProtection="0"/>
    <xf numFmtId="0" fontId="0" fillId="16" borderId="11" applyNumberFormat="0" applyFont="0" applyAlignment="0" applyProtection="0"/>
    <xf numFmtId="0" fontId="0" fillId="16" borderId="11" applyNumberFormat="0" applyFont="0" applyAlignment="0" applyProtection="0"/>
    <xf numFmtId="0" fontId="0" fillId="16" borderId="36" applyNumberFormat="0" applyFont="0" applyAlignment="0" applyProtection="0"/>
    <xf numFmtId="0" fontId="0" fillId="16" borderId="36" applyNumberFormat="0" applyFont="0" applyAlignment="0" applyProtection="0"/>
    <xf numFmtId="0" fontId="0" fillId="16" borderId="11" applyNumberFormat="0" applyFont="0" applyAlignment="0" applyProtection="0"/>
    <xf numFmtId="0" fontId="0" fillId="16" borderId="11" applyNumberFormat="0" applyFont="0" applyAlignment="0" applyProtection="0"/>
    <xf numFmtId="0" fontId="0" fillId="16" borderId="11" applyNumberFormat="0" applyFont="0" applyAlignment="0" applyProtection="0"/>
    <xf numFmtId="0" fontId="0" fillId="16" borderId="11" applyNumberFormat="0" applyFont="0" applyAlignment="0" applyProtection="0"/>
    <xf numFmtId="0" fontId="0" fillId="16" borderId="11" applyNumberFormat="0" applyFont="0" applyAlignment="0" applyProtection="0"/>
    <xf numFmtId="0" fontId="0" fillId="16" borderId="11" applyNumberFormat="0" applyFont="0" applyAlignment="0" applyProtection="0"/>
    <xf numFmtId="199" fontId="0" fillId="0" borderId="0">
      <alignment/>
      <protection/>
    </xf>
    <xf numFmtId="200" fontId="0" fillId="0" borderId="0">
      <alignment/>
      <protection/>
    </xf>
    <xf numFmtId="0" fontId="183" fillId="63" borderId="37" applyNumberFormat="0" applyAlignment="0" applyProtection="0"/>
    <xf numFmtId="0" fontId="22" fillId="26" borderId="38" applyNumberFormat="0" applyAlignment="0" applyProtection="0"/>
    <xf numFmtId="0" fontId="22" fillId="26" borderId="38" applyNumberFormat="0" applyAlignment="0" applyProtection="0"/>
    <xf numFmtId="0" fontId="22" fillId="26" borderId="38" applyNumberFormat="0" applyAlignment="0" applyProtection="0"/>
    <xf numFmtId="0" fontId="22" fillId="3" borderId="38" applyNumberFormat="0" applyAlignment="0" applyProtection="0"/>
    <xf numFmtId="0" fontId="22" fillId="3" borderId="38" applyNumberFormat="0" applyAlignment="0" applyProtection="0"/>
    <xf numFmtId="0" fontId="22" fillId="26" borderId="38" applyNumberFormat="0" applyAlignment="0" applyProtection="0"/>
    <xf numFmtId="0" fontId="22" fillId="26" borderId="38" applyNumberFormat="0" applyAlignment="0" applyProtection="0"/>
    <xf numFmtId="0" fontId="22" fillId="26" borderId="38" applyNumberFormat="0" applyAlignment="0" applyProtection="0"/>
    <xf numFmtId="0" fontId="22" fillId="26" borderId="38" applyNumberFormat="0" applyAlignment="0" applyProtection="0"/>
    <xf numFmtId="0" fontId="22" fillId="26" borderId="38" applyNumberFormat="0" applyAlignment="0" applyProtection="0"/>
    <xf numFmtId="0" fontId="22" fillId="26" borderId="38" applyNumberFormat="0" applyAlignment="0" applyProtection="0"/>
    <xf numFmtId="40" fontId="92" fillId="14" borderId="0">
      <alignment horizontal="right"/>
      <protection/>
    </xf>
    <xf numFmtId="0" fontId="93" fillId="14" borderId="0">
      <alignment horizontal="right"/>
      <protection/>
    </xf>
    <xf numFmtId="0" fontId="94" fillId="14" borderId="39">
      <alignment/>
      <protection/>
    </xf>
    <xf numFmtId="0" fontId="94" fillId="0" borderId="0" applyBorder="0">
      <alignment horizontal="centerContinuous"/>
      <protection/>
    </xf>
    <xf numFmtId="0" fontId="95" fillId="0" borderId="0" applyBorder="0">
      <alignment horizontal="centerContinuous"/>
      <protection/>
    </xf>
    <xf numFmtId="1" fontId="96" fillId="0" borderId="0" applyProtection="0">
      <alignment horizontal="right" vertical="center"/>
    </xf>
    <xf numFmtId="38" fontId="97" fillId="0" borderId="0">
      <alignment vertical="top"/>
      <protection/>
    </xf>
    <xf numFmtId="169" fontId="0" fillId="0" borderId="0" applyFill="0">
      <alignment/>
      <protection/>
    </xf>
    <xf numFmtId="201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35" fillId="0" borderId="0" applyFont="0" applyFill="0" applyBorder="0" applyAlignment="0" applyProtection="0"/>
    <xf numFmtId="9" fontId="98" fillId="0" borderId="0" applyFont="0" applyFill="0" applyBorder="0" applyAlignment="0" applyProtection="0"/>
    <xf numFmtId="202" fontId="0" fillId="0" borderId="0">
      <alignment/>
      <protection/>
    </xf>
    <xf numFmtId="0" fontId="99" fillId="76" borderId="0" applyNumberFormat="0" applyFont="0" applyBorder="0" applyAlignment="0">
      <protection/>
    </xf>
    <xf numFmtId="0" fontId="99" fillId="77" borderId="0" applyNumberFormat="0" applyFont="0" applyBorder="0" applyAlignment="0">
      <protection/>
    </xf>
    <xf numFmtId="168" fontId="0" fillId="0" borderId="0">
      <alignment horizontal="center"/>
      <protection/>
    </xf>
    <xf numFmtId="2" fontId="100" fillId="0" borderId="0">
      <alignment horizontal="right"/>
      <protection locked="0"/>
    </xf>
    <xf numFmtId="0" fontId="58" fillId="0" borderId="0" applyNumberFormat="0" applyFont="0" applyFill="0" applyBorder="0" applyAlignment="0" applyProtection="0"/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55" fillId="0" borderId="8">
      <alignment horizontal="center"/>
      <protection/>
    </xf>
    <xf numFmtId="3" fontId="58" fillId="0" borderId="0" applyFont="0" applyFill="0" applyBorder="0" applyAlignment="0" applyProtection="0"/>
    <xf numFmtId="0" fontId="58" fillId="62" borderId="0" applyNumberFormat="0" applyFont="0" applyBorder="0" applyAlignment="0" applyProtection="0"/>
    <xf numFmtId="169" fontId="101" fillId="0" borderId="0">
      <alignment/>
      <protection/>
    </xf>
    <xf numFmtId="203" fontId="32" fillId="17" borderId="9">
      <alignment/>
      <protection/>
    </xf>
    <xf numFmtId="0" fontId="102" fillId="0" borderId="0" applyNumberFormat="0" applyFill="0" applyBorder="0" applyProtection="0">
      <alignment horizontal="right" vertical="center"/>
    </xf>
    <xf numFmtId="4" fontId="28" fillId="70" borderId="40" applyNumberFormat="0" applyProtection="0">
      <alignment vertical="center"/>
    </xf>
    <xf numFmtId="4" fontId="27" fillId="70" borderId="38" applyNumberFormat="0" applyProtection="0">
      <alignment vertical="center"/>
    </xf>
    <xf numFmtId="4" fontId="27" fillId="70" borderId="38" applyNumberFormat="0" applyProtection="0">
      <alignment vertical="center"/>
    </xf>
    <xf numFmtId="4" fontId="27" fillId="70" borderId="38" applyNumberFormat="0" applyProtection="0">
      <alignment vertical="center"/>
    </xf>
    <xf numFmtId="4" fontId="27" fillId="70" borderId="38" applyNumberFormat="0" applyProtection="0">
      <alignment vertical="center"/>
    </xf>
    <xf numFmtId="4" fontId="27" fillId="70" borderId="38" applyNumberFormat="0" applyProtection="0">
      <alignment vertical="center"/>
    </xf>
    <xf numFmtId="4" fontId="27" fillId="70" borderId="38" applyNumberFormat="0" applyProtection="0">
      <alignment vertical="center"/>
    </xf>
    <xf numFmtId="4" fontId="27" fillId="70" borderId="38" applyNumberFormat="0" applyProtection="0">
      <alignment vertical="center"/>
    </xf>
    <xf numFmtId="4" fontId="27" fillId="70" borderId="38" applyNumberFormat="0" applyProtection="0">
      <alignment vertical="center"/>
    </xf>
    <xf numFmtId="4" fontId="27" fillId="70" borderId="38" applyNumberFormat="0" applyProtection="0">
      <alignment vertical="center"/>
    </xf>
    <xf numFmtId="4" fontId="103" fillId="70" borderId="40" applyNumberFormat="0" applyProtection="0">
      <alignment vertical="center"/>
    </xf>
    <xf numFmtId="4" fontId="105" fillId="70" borderId="38" applyNumberFormat="0" applyProtection="0">
      <alignment vertical="center"/>
    </xf>
    <xf numFmtId="4" fontId="105" fillId="70" borderId="38" applyNumberFormat="0" applyProtection="0">
      <alignment vertical="center"/>
    </xf>
    <xf numFmtId="4" fontId="105" fillId="70" borderId="38" applyNumberFormat="0" applyProtection="0">
      <alignment vertical="center"/>
    </xf>
    <xf numFmtId="4" fontId="105" fillId="70" borderId="38" applyNumberFormat="0" applyProtection="0">
      <alignment vertical="center"/>
    </xf>
    <xf numFmtId="4" fontId="105" fillId="70" borderId="38" applyNumberFormat="0" applyProtection="0">
      <alignment vertical="center"/>
    </xf>
    <xf numFmtId="4" fontId="105" fillId="70" borderId="38" applyNumberFormat="0" applyProtection="0">
      <alignment vertical="center"/>
    </xf>
    <xf numFmtId="4" fontId="105" fillId="70" borderId="38" applyNumberFormat="0" applyProtection="0">
      <alignment vertical="center"/>
    </xf>
    <xf numFmtId="4" fontId="105" fillId="70" borderId="38" applyNumberFormat="0" applyProtection="0">
      <alignment vertical="center"/>
    </xf>
    <xf numFmtId="4" fontId="105" fillId="70" borderId="38" applyNumberFormat="0" applyProtection="0">
      <alignment vertical="center"/>
    </xf>
    <xf numFmtId="4" fontId="28" fillId="70" borderId="40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0" fontId="28" fillId="70" borderId="40" applyNumberFormat="0" applyProtection="0">
      <alignment horizontal="left" vertical="top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7" fillId="70" borderId="38" applyNumberFormat="0" applyProtection="0">
      <alignment horizontal="left" vertical="center" indent="1"/>
    </xf>
    <xf numFmtId="4" fontId="28" fillId="55" borderId="0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4" fontId="27" fillId="22" borderId="40" applyNumberFormat="0" applyProtection="0">
      <alignment horizontal="right" vertical="center"/>
    </xf>
    <xf numFmtId="4" fontId="27" fillId="22" borderId="38" applyNumberFormat="0" applyProtection="0">
      <alignment horizontal="right" vertical="center"/>
    </xf>
    <xf numFmtId="4" fontId="27" fillId="22" borderId="38" applyNumberFormat="0" applyProtection="0">
      <alignment horizontal="right" vertical="center"/>
    </xf>
    <xf numFmtId="4" fontId="27" fillId="22" borderId="38" applyNumberFormat="0" applyProtection="0">
      <alignment horizontal="right" vertical="center"/>
    </xf>
    <xf numFmtId="4" fontId="27" fillId="22" borderId="38" applyNumberFormat="0" applyProtection="0">
      <alignment horizontal="right" vertical="center"/>
    </xf>
    <xf numFmtId="4" fontId="27" fillId="22" borderId="38" applyNumberFormat="0" applyProtection="0">
      <alignment horizontal="right" vertical="center"/>
    </xf>
    <xf numFmtId="4" fontId="27" fillId="22" borderId="38" applyNumberFormat="0" applyProtection="0">
      <alignment horizontal="right" vertical="center"/>
    </xf>
    <xf numFmtId="4" fontId="27" fillId="22" borderId="38" applyNumberFormat="0" applyProtection="0">
      <alignment horizontal="right" vertical="center"/>
    </xf>
    <xf numFmtId="4" fontId="27" fillId="22" borderId="38" applyNumberFormat="0" applyProtection="0">
      <alignment horizontal="right" vertical="center"/>
    </xf>
    <xf numFmtId="4" fontId="27" fillId="22" borderId="38" applyNumberFormat="0" applyProtection="0">
      <alignment horizontal="right" vertical="center"/>
    </xf>
    <xf numFmtId="4" fontId="27" fillId="21" borderId="40" applyNumberFormat="0" applyProtection="0">
      <alignment horizontal="right" vertical="center"/>
    </xf>
    <xf numFmtId="4" fontId="27" fillId="21" borderId="38" applyNumberFormat="0" applyProtection="0">
      <alignment horizontal="right" vertical="center"/>
    </xf>
    <xf numFmtId="4" fontId="27" fillId="21" borderId="38" applyNumberFormat="0" applyProtection="0">
      <alignment horizontal="right" vertical="center"/>
    </xf>
    <xf numFmtId="4" fontId="27" fillId="21" borderId="38" applyNumberFormat="0" applyProtection="0">
      <alignment horizontal="right" vertical="center"/>
    </xf>
    <xf numFmtId="4" fontId="27" fillId="21" borderId="38" applyNumberFormat="0" applyProtection="0">
      <alignment horizontal="right" vertical="center"/>
    </xf>
    <xf numFmtId="4" fontId="27" fillId="21" borderId="38" applyNumberFormat="0" applyProtection="0">
      <alignment horizontal="right" vertical="center"/>
    </xf>
    <xf numFmtId="4" fontId="27" fillId="21" borderId="38" applyNumberFormat="0" applyProtection="0">
      <alignment horizontal="right" vertical="center"/>
    </xf>
    <xf numFmtId="4" fontId="27" fillId="21" borderId="38" applyNumberFormat="0" applyProtection="0">
      <alignment horizontal="right" vertical="center"/>
    </xf>
    <xf numFmtId="4" fontId="27" fillId="21" borderId="38" applyNumberFormat="0" applyProtection="0">
      <alignment horizontal="right" vertical="center"/>
    </xf>
    <xf numFmtId="4" fontId="27" fillId="21" borderId="38" applyNumberFormat="0" applyProtection="0">
      <alignment horizontal="right" vertical="center"/>
    </xf>
    <xf numFmtId="4" fontId="27" fillId="5" borderId="40" applyNumberFormat="0" applyProtection="0">
      <alignment horizontal="right" vertical="center"/>
    </xf>
    <xf numFmtId="4" fontId="27" fillId="5" borderId="38" applyNumberFormat="0" applyProtection="0">
      <alignment horizontal="right" vertical="center"/>
    </xf>
    <xf numFmtId="4" fontId="27" fillId="5" borderId="38" applyNumberFormat="0" applyProtection="0">
      <alignment horizontal="right" vertical="center"/>
    </xf>
    <xf numFmtId="4" fontId="27" fillId="5" borderId="38" applyNumberFormat="0" applyProtection="0">
      <alignment horizontal="right" vertical="center"/>
    </xf>
    <xf numFmtId="4" fontId="27" fillId="5" borderId="38" applyNumberFormat="0" applyProtection="0">
      <alignment horizontal="right" vertical="center"/>
    </xf>
    <xf numFmtId="4" fontId="27" fillId="5" borderId="38" applyNumberFormat="0" applyProtection="0">
      <alignment horizontal="right" vertical="center"/>
    </xf>
    <xf numFmtId="4" fontId="27" fillId="5" borderId="38" applyNumberFormat="0" applyProtection="0">
      <alignment horizontal="right" vertical="center"/>
    </xf>
    <xf numFmtId="4" fontId="27" fillId="5" borderId="38" applyNumberFormat="0" applyProtection="0">
      <alignment horizontal="right" vertical="center"/>
    </xf>
    <xf numFmtId="4" fontId="27" fillId="5" borderId="38" applyNumberFormat="0" applyProtection="0">
      <alignment horizontal="right" vertical="center"/>
    </xf>
    <xf numFmtId="4" fontId="27" fillId="5" borderId="38" applyNumberFormat="0" applyProtection="0">
      <alignment horizontal="right" vertical="center"/>
    </xf>
    <xf numFmtId="4" fontId="27" fillId="38" borderId="40" applyNumberFormat="0" applyProtection="0">
      <alignment horizontal="right" vertical="center"/>
    </xf>
    <xf numFmtId="4" fontId="27" fillId="38" borderId="38" applyNumberFormat="0" applyProtection="0">
      <alignment horizontal="right" vertical="center"/>
    </xf>
    <xf numFmtId="4" fontId="27" fillId="38" borderId="38" applyNumberFormat="0" applyProtection="0">
      <alignment horizontal="right" vertical="center"/>
    </xf>
    <xf numFmtId="4" fontId="27" fillId="38" borderId="38" applyNumberFormat="0" applyProtection="0">
      <alignment horizontal="right" vertical="center"/>
    </xf>
    <xf numFmtId="4" fontId="27" fillId="38" borderId="38" applyNumberFormat="0" applyProtection="0">
      <alignment horizontal="right" vertical="center"/>
    </xf>
    <xf numFmtId="4" fontId="27" fillId="38" borderId="38" applyNumberFormat="0" applyProtection="0">
      <alignment horizontal="right" vertical="center"/>
    </xf>
    <xf numFmtId="4" fontId="27" fillId="38" borderId="38" applyNumberFormat="0" applyProtection="0">
      <alignment horizontal="right" vertical="center"/>
    </xf>
    <xf numFmtId="4" fontId="27" fillId="38" borderId="38" applyNumberFormat="0" applyProtection="0">
      <alignment horizontal="right" vertical="center"/>
    </xf>
    <xf numFmtId="4" fontId="27" fillId="38" borderId="38" applyNumberFormat="0" applyProtection="0">
      <alignment horizontal="right" vertical="center"/>
    </xf>
    <xf numFmtId="4" fontId="27" fillId="38" borderId="38" applyNumberFormat="0" applyProtection="0">
      <alignment horizontal="right" vertical="center"/>
    </xf>
    <xf numFmtId="4" fontId="27" fillId="48" borderId="40" applyNumberFormat="0" applyProtection="0">
      <alignment horizontal="right" vertical="center"/>
    </xf>
    <xf numFmtId="4" fontId="27" fillId="48" borderId="38" applyNumberFormat="0" applyProtection="0">
      <alignment horizontal="right" vertical="center"/>
    </xf>
    <xf numFmtId="4" fontId="27" fillId="48" borderId="38" applyNumberFormat="0" applyProtection="0">
      <alignment horizontal="right" vertical="center"/>
    </xf>
    <xf numFmtId="4" fontId="27" fillId="48" borderId="38" applyNumberFormat="0" applyProtection="0">
      <alignment horizontal="right" vertical="center"/>
    </xf>
    <xf numFmtId="4" fontId="27" fillId="48" borderId="38" applyNumberFormat="0" applyProtection="0">
      <alignment horizontal="right" vertical="center"/>
    </xf>
    <xf numFmtId="4" fontId="27" fillId="48" borderId="38" applyNumberFormat="0" applyProtection="0">
      <alignment horizontal="right" vertical="center"/>
    </xf>
    <xf numFmtId="4" fontId="27" fillId="48" borderId="38" applyNumberFormat="0" applyProtection="0">
      <alignment horizontal="right" vertical="center"/>
    </xf>
    <xf numFmtId="4" fontId="27" fillId="48" borderId="38" applyNumberFormat="0" applyProtection="0">
      <alignment horizontal="right" vertical="center"/>
    </xf>
    <xf numFmtId="4" fontId="27" fillId="48" borderId="38" applyNumberFormat="0" applyProtection="0">
      <alignment horizontal="right" vertical="center"/>
    </xf>
    <xf numFmtId="4" fontId="27" fillId="48" borderId="38" applyNumberFormat="0" applyProtection="0">
      <alignment horizontal="right" vertical="center"/>
    </xf>
    <xf numFmtId="4" fontId="27" fillId="59" borderId="40" applyNumberFormat="0" applyProtection="0">
      <alignment horizontal="right" vertical="center"/>
    </xf>
    <xf numFmtId="4" fontId="27" fillId="59" borderId="38" applyNumberFormat="0" applyProtection="0">
      <alignment horizontal="right" vertical="center"/>
    </xf>
    <xf numFmtId="4" fontId="27" fillId="59" borderId="38" applyNumberFormat="0" applyProtection="0">
      <alignment horizontal="right" vertical="center"/>
    </xf>
    <xf numFmtId="4" fontId="27" fillId="59" borderId="38" applyNumberFormat="0" applyProtection="0">
      <alignment horizontal="right" vertical="center"/>
    </xf>
    <xf numFmtId="4" fontId="27" fillId="59" borderId="38" applyNumberFormat="0" applyProtection="0">
      <alignment horizontal="right" vertical="center"/>
    </xf>
    <xf numFmtId="4" fontId="27" fillId="59" borderId="38" applyNumberFormat="0" applyProtection="0">
      <alignment horizontal="right" vertical="center"/>
    </xf>
    <xf numFmtId="4" fontId="27" fillId="59" borderId="38" applyNumberFormat="0" applyProtection="0">
      <alignment horizontal="right" vertical="center"/>
    </xf>
    <xf numFmtId="4" fontId="27" fillId="59" borderId="38" applyNumberFormat="0" applyProtection="0">
      <alignment horizontal="right" vertical="center"/>
    </xf>
    <xf numFmtId="4" fontId="27" fillId="59" borderId="38" applyNumberFormat="0" applyProtection="0">
      <alignment horizontal="right" vertical="center"/>
    </xf>
    <xf numFmtId="4" fontId="27" fillId="59" borderId="38" applyNumberFormat="0" applyProtection="0">
      <alignment horizontal="right" vertical="center"/>
    </xf>
    <xf numFmtId="4" fontId="27" fillId="34" borderId="40" applyNumberFormat="0" applyProtection="0">
      <alignment horizontal="right" vertical="center"/>
    </xf>
    <xf numFmtId="4" fontId="27" fillId="34" borderId="38" applyNumberFormat="0" applyProtection="0">
      <alignment horizontal="right" vertical="center"/>
    </xf>
    <xf numFmtId="4" fontId="27" fillId="34" borderId="38" applyNumberFormat="0" applyProtection="0">
      <alignment horizontal="right" vertical="center"/>
    </xf>
    <xf numFmtId="4" fontId="27" fillId="34" borderId="38" applyNumberFormat="0" applyProtection="0">
      <alignment horizontal="right" vertical="center"/>
    </xf>
    <xf numFmtId="4" fontId="27" fillId="34" borderId="38" applyNumberFormat="0" applyProtection="0">
      <alignment horizontal="right" vertical="center"/>
    </xf>
    <xf numFmtId="4" fontId="27" fillId="34" borderId="38" applyNumberFormat="0" applyProtection="0">
      <alignment horizontal="right" vertical="center"/>
    </xf>
    <xf numFmtId="4" fontId="27" fillId="34" borderId="38" applyNumberFormat="0" applyProtection="0">
      <alignment horizontal="right" vertical="center"/>
    </xf>
    <xf numFmtId="4" fontId="27" fillId="34" borderId="38" applyNumberFormat="0" applyProtection="0">
      <alignment horizontal="right" vertical="center"/>
    </xf>
    <xf numFmtId="4" fontId="27" fillId="34" borderId="38" applyNumberFormat="0" applyProtection="0">
      <alignment horizontal="right" vertical="center"/>
    </xf>
    <xf numFmtId="4" fontId="27" fillId="34" borderId="38" applyNumberFormat="0" applyProtection="0">
      <alignment horizontal="right" vertical="center"/>
    </xf>
    <xf numFmtId="4" fontId="27" fillId="72" borderId="40" applyNumberFormat="0" applyProtection="0">
      <alignment horizontal="right" vertical="center"/>
    </xf>
    <xf numFmtId="4" fontId="27" fillId="72" borderId="38" applyNumberFormat="0" applyProtection="0">
      <alignment horizontal="right" vertical="center"/>
    </xf>
    <xf numFmtId="4" fontId="27" fillId="72" borderId="38" applyNumberFormat="0" applyProtection="0">
      <alignment horizontal="right" vertical="center"/>
    </xf>
    <xf numFmtId="4" fontId="27" fillId="72" borderId="38" applyNumberFormat="0" applyProtection="0">
      <alignment horizontal="right" vertical="center"/>
    </xf>
    <xf numFmtId="4" fontId="27" fillId="72" borderId="38" applyNumberFormat="0" applyProtection="0">
      <alignment horizontal="right" vertical="center"/>
    </xf>
    <xf numFmtId="4" fontId="27" fillId="72" borderId="38" applyNumberFormat="0" applyProtection="0">
      <alignment horizontal="right" vertical="center"/>
    </xf>
    <xf numFmtId="4" fontId="27" fillId="72" borderId="38" applyNumberFormat="0" applyProtection="0">
      <alignment horizontal="right" vertical="center"/>
    </xf>
    <xf numFmtId="4" fontId="27" fillId="72" borderId="38" applyNumberFormat="0" applyProtection="0">
      <alignment horizontal="right" vertical="center"/>
    </xf>
    <xf numFmtId="4" fontId="27" fillId="72" borderId="38" applyNumberFormat="0" applyProtection="0">
      <alignment horizontal="right" vertical="center"/>
    </xf>
    <xf numFmtId="4" fontId="27" fillId="72" borderId="38" applyNumberFormat="0" applyProtection="0">
      <alignment horizontal="right" vertical="center"/>
    </xf>
    <xf numFmtId="4" fontId="27" fillId="4" borderId="40" applyNumberFormat="0" applyProtection="0">
      <alignment horizontal="right" vertical="center"/>
    </xf>
    <xf numFmtId="4" fontId="27" fillId="4" borderId="38" applyNumberFormat="0" applyProtection="0">
      <alignment horizontal="right" vertical="center"/>
    </xf>
    <xf numFmtId="4" fontId="27" fillId="4" borderId="38" applyNumberFormat="0" applyProtection="0">
      <alignment horizontal="right" vertical="center"/>
    </xf>
    <xf numFmtId="4" fontId="27" fillId="4" borderId="38" applyNumberFormat="0" applyProtection="0">
      <alignment horizontal="right" vertical="center"/>
    </xf>
    <xf numFmtId="4" fontId="27" fillId="4" borderId="38" applyNumberFormat="0" applyProtection="0">
      <alignment horizontal="right" vertical="center"/>
    </xf>
    <xf numFmtId="4" fontId="27" fillId="4" borderId="38" applyNumberFormat="0" applyProtection="0">
      <alignment horizontal="right" vertical="center"/>
    </xf>
    <xf numFmtId="4" fontId="27" fillId="4" borderId="38" applyNumberFormat="0" applyProtection="0">
      <alignment horizontal="right" vertical="center"/>
    </xf>
    <xf numFmtId="4" fontId="27" fillId="4" borderId="38" applyNumberFormat="0" applyProtection="0">
      <alignment horizontal="right" vertical="center"/>
    </xf>
    <xf numFmtId="4" fontId="27" fillId="4" borderId="38" applyNumberFormat="0" applyProtection="0">
      <alignment horizontal="right" vertical="center"/>
    </xf>
    <xf numFmtId="4" fontId="27" fillId="4" borderId="38" applyNumberFormat="0" applyProtection="0">
      <alignment horizontal="right" vertical="center"/>
    </xf>
    <xf numFmtId="4" fontId="28" fillId="78" borderId="41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8" fillId="79" borderId="3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26" borderId="42" applyNumberFormat="0" applyProtection="0">
      <alignment horizontal="left" vertical="center" indent="1"/>
    </xf>
    <xf numFmtId="4" fontId="27" fillId="26" borderId="42" applyNumberFormat="0" applyProtection="0">
      <alignment horizontal="left" vertical="center" indent="1"/>
    </xf>
    <xf numFmtId="4" fontId="27" fillId="26" borderId="42" applyNumberFormat="0" applyProtection="0">
      <alignment horizontal="left" vertical="center" indent="1"/>
    </xf>
    <xf numFmtId="4" fontId="27" fillId="26" borderId="42" applyNumberFormat="0" applyProtection="0">
      <alignment horizontal="left" vertical="center" indent="1"/>
    </xf>
    <xf numFmtId="4" fontId="27" fillId="26" borderId="42" applyNumberFormat="0" applyProtection="0">
      <alignment horizontal="left" vertical="center" indent="1"/>
    </xf>
    <xf numFmtId="4" fontId="27" fillId="26" borderId="42" applyNumberFormat="0" applyProtection="0">
      <alignment horizontal="left" vertical="center" indent="1"/>
    </xf>
    <xf numFmtId="4" fontId="27" fillId="26" borderId="42" applyNumberFormat="0" applyProtection="0">
      <alignment horizontal="left" vertical="center" indent="1"/>
    </xf>
    <xf numFmtId="4" fontId="27" fillId="26" borderId="42" applyNumberFormat="0" applyProtection="0">
      <alignment horizontal="left" vertical="center" indent="1"/>
    </xf>
    <xf numFmtId="4" fontId="27" fillId="26" borderId="42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73" fillId="8" borderId="0" applyNumberFormat="0" applyProtection="0">
      <alignment horizontal="left" vertical="center" indent="1"/>
    </xf>
    <xf numFmtId="4" fontId="104" fillId="55" borderId="40" applyNumberFormat="0" applyProtection="0">
      <alignment horizontal="right" vertical="center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4" fontId="27" fillId="54" borderId="0" applyNumberFormat="0" applyProtection="0">
      <alignment horizontal="left" vertical="center" indent="1"/>
    </xf>
    <xf numFmtId="4" fontId="27" fillId="26" borderId="38" applyNumberFormat="0" applyProtection="0">
      <alignment horizontal="left" vertical="center" indent="1"/>
    </xf>
    <xf numFmtId="4" fontId="27" fillId="26" borderId="38" applyNumberFormat="0" applyProtection="0">
      <alignment horizontal="left" vertical="center" indent="1"/>
    </xf>
    <xf numFmtId="4" fontId="27" fillId="26" borderId="38" applyNumberFormat="0" applyProtection="0">
      <alignment horizontal="left" vertical="center" indent="1"/>
    </xf>
    <xf numFmtId="4" fontId="27" fillId="26" borderId="38" applyNumberFormat="0" applyProtection="0">
      <alignment horizontal="left" vertical="center" indent="1"/>
    </xf>
    <xf numFmtId="4" fontId="27" fillId="26" borderId="38" applyNumberFormat="0" applyProtection="0">
      <alignment horizontal="left" vertical="center" indent="1"/>
    </xf>
    <xf numFmtId="4" fontId="27" fillId="26" borderId="38" applyNumberFormat="0" applyProtection="0">
      <alignment horizontal="left" vertical="center" indent="1"/>
    </xf>
    <xf numFmtId="4" fontId="27" fillId="26" borderId="38" applyNumberFormat="0" applyProtection="0">
      <alignment horizontal="left" vertical="center" indent="1"/>
    </xf>
    <xf numFmtId="4" fontId="27" fillId="26" borderId="38" applyNumberFormat="0" applyProtection="0">
      <alignment horizontal="left" vertical="center" indent="1"/>
    </xf>
    <xf numFmtId="4" fontId="27" fillId="26" borderId="38" applyNumberFormat="0" applyProtection="0">
      <alignment horizontal="left" vertical="center" indent="1"/>
    </xf>
    <xf numFmtId="4" fontId="27" fillId="55" borderId="0" applyNumberFormat="0" applyProtection="0">
      <alignment horizontal="left" vertical="center" indent="1"/>
    </xf>
    <xf numFmtId="4" fontId="27" fillId="65" borderId="38" applyNumberFormat="0" applyProtection="0">
      <alignment horizontal="left" vertical="center" indent="1"/>
    </xf>
    <xf numFmtId="4" fontId="27" fillId="65" borderId="38" applyNumberFormat="0" applyProtection="0">
      <alignment horizontal="left" vertical="center" indent="1"/>
    </xf>
    <xf numFmtId="4" fontId="27" fillId="65" borderId="38" applyNumberFormat="0" applyProtection="0">
      <alignment horizontal="left" vertical="center" indent="1"/>
    </xf>
    <xf numFmtId="4" fontId="27" fillId="65" borderId="38" applyNumberFormat="0" applyProtection="0">
      <alignment horizontal="left" vertical="center" indent="1"/>
    </xf>
    <xf numFmtId="4" fontId="27" fillId="65" borderId="38" applyNumberFormat="0" applyProtection="0">
      <alignment horizontal="left" vertical="center" indent="1"/>
    </xf>
    <xf numFmtId="4" fontId="27" fillId="65" borderId="38" applyNumberFormat="0" applyProtection="0">
      <alignment horizontal="left" vertical="center" indent="1"/>
    </xf>
    <xf numFmtId="4" fontId="27" fillId="65" borderId="38" applyNumberFormat="0" applyProtection="0">
      <alignment horizontal="left" vertical="center" indent="1"/>
    </xf>
    <xf numFmtId="4" fontId="27" fillId="65" borderId="38" applyNumberFormat="0" applyProtection="0">
      <alignment horizontal="left" vertical="center" indent="1"/>
    </xf>
    <xf numFmtId="4" fontId="27" fillId="65" borderId="38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5" fillId="0" borderId="0" applyNumberFormat="0" applyProtection="0">
      <alignment horizontal="left" vertical="top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0" fillId="65" borderId="38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5" fillId="0" borderId="0" applyNumberFormat="0" applyProtection="0">
      <alignment horizontal="left" vertical="top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0" fillId="6" borderId="38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5" fillId="0" borderId="0" applyNumberFormat="0" applyProtection="0">
      <alignment horizontal="left" vertical="top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0" fillId="3" borderId="38" applyNumberFormat="0" applyProtection="0">
      <alignment horizontal="left" vertical="center" indent="1"/>
    </xf>
    <xf numFmtId="0" fontId="5" fillId="0" borderId="0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5" fillId="0" borderId="0" applyNumberFormat="0" applyProtection="0">
      <alignment horizontal="left" vertical="top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0" borderId="0">
      <alignment/>
      <protection/>
    </xf>
    <xf numFmtId="0" fontId="59" fillId="8" borderId="43" applyBorder="0">
      <alignment/>
      <protection/>
    </xf>
    <xf numFmtId="4" fontId="27" fillId="16" borderId="40" applyNumberFormat="0" applyProtection="0">
      <alignment vertical="center"/>
    </xf>
    <xf numFmtId="4" fontId="27" fillId="16" borderId="38" applyNumberFormat="0" applyProtection="0">
      <alignment vertical="center"/>
    </xf>
    <xf numFmtId="4" fontId="27" fillId="16" borderId="38" applyNumberFormat="0" applyProtection="0">
      <alignment vertical="center"/>
    </xf>
    <xf numFmtId="4" fontId="27" fillId="16" borderId="38" applyNumberFormat="0" applyProtection="0">
      <alignment vertical="center"/>
    </xf>
    <xf numFmtId="4" fontId="27" fillId="16" borderId="38" applyNumberFormat="0" applyProtection="0">
      <alignment vertical="center"/>
    </xf>
    <xf numFmtId="4" fontId="27" fillId="16" borderId="38" applyNumberFormat="0" applyProtection="0">
      <alignment vertical="center"/>
    </xf>
    <xf numFmtId="4" fontId="27" fillId="16" borderId="38" applyNumberFormat="0" applyProtection="0">
      <alignment vertical="center"/>
    </xf>
    <xf numFmtId="4" fontId="27" fillId="16" borderId="38" applyNumberFormat="0" applyProtection="0">
      <alignment vertical="center"/>
    </xf>
    <xf numFmtId="4" fontId="27" fillId="16" borderId="38" applyNumberFormat="0" applyProtection="0">
      <alignment vertical="center"/>
    </xf>
    <xf numFmtId="4" fontId="27" fillId="16" borderId="38" applyNumberFormat="0" applyProtection="0">
      <alignment vertical="center"/>
    </xf>
    <xf numFmtId="4" fontId="105" fillId="16" borderId="40" applyNumberFormat="0" applyProtection="0">
      <alignment vertical="center"/>
    </xf>
    <xf numFmtId="4" fontId="105" fillId="16" borderId="38" applyNumberFormat="0" applyProtection="0">
      <alignment vertical="center"/>
    </xf>
    <xf numFmtId="4" fontId="105" fillId="16" borderId="38" applyNumberFormat="0" applyProtection="0">
      <alignment vertical="center"/>
    </xf>
    <xf numFmtId="4" fontId="105" fillId="16" borderId="38" applyNumberFormat="0" applyProtection="0">
      <alignment vertical="center"/>
    </xf>
    <xf numFmtId="4" fontId="105" fillId="16" borderId="38" applyNumberFormat="0" applyProtection="0">
      <alignment vertical="center"/>
    </xf>
    <xf numFmtId="4" fontId="105" fillId="16" borderId="38" applyNumberFormat="0" applyProtection="0">
      <alignment vertical="center"/>
    </xf>
    <xf numFmtId="4" fontId="105" fillId="16" borderId="38" applyNumberFormat="0" applyProtection="0">
      <alignment vertical="center"/>
    </xf>
    <xf numFmtId="4" fontId="105" fillId="16" borderId="38" applyNumberFormat="0" applyProtection="0">
      <alignment vertical="center"/>
    </xf>
    <xf numFmtId="4" fontId="105" fillId="16" borderId="38" applyNumberFormat="0" applyProtection="0">
      <alignment vertical="center"/>
    </xf>
    <xf numFmtId="4" fontId="105" fillId="16" borderId="38" applyNumberFormat="0" applyProtection="0">
      <alignment vertical="center"/>
    </xf>
    <xf numFmtId="4" fontId="27" fillId="16" borderId="40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0" fontId="106" fillId="16" borderId="40" applyNumberFormat="0" applyProtection="0">
      <alignment horizontal="left" vertical="top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16" borderId="38" applyNumberFormat="0" applyProtection="0">
      <alignment horizontal="left" vertical="center" indent="1"/>
    </xf>
    <xf numFmtId="4" fontId="27" fillId="54" borderId="40" applyNumberFormat="0" applyProtection="0">
      <alignment horizontal="right" vertical="center"/>
    </xf>
    <xf numFmtId="4" fontId="27" fillId="26" borderId="38" applyNumberFormat="0" applyProtection="0">
      <alignment horizontal="right" vertical="center"/>
    </xf>
    <xf numFmtId="4" fontId="27" fillId="26" borderId="38" applyNumberFormat="0" applyProtection="0">
      <alignment horizontal="right" vertical="center"/>
    </xf>
    <xf numFmtId="4" fontId="27" fillId="26" borderId="38" applyNumberFormat="0" applyProtection="0">
      <alignment horizontal="right" vertical="center"/>
    </xf>
    <xf numFmtId="4" fontId="27" fillId="26" borderId="38" applyNumberFormat="0" applyProtection="0">
      <alignment horizontal="right" vertical="center"/>
    </xf>
    <xf numFmtId="4" fontId="27" fillId="26" borderId="38" applyNumberFormat="0" applyProtection="0">
      <alignment horizontal="right" vertical="center"/>
    </xf>
    <xf numFmtId="4" fontId="27" fillId="26" borderId="38" applyNumberFormat="0" applyProtection="0">
      <alignment horizontal="right" vertical="center"/>
    </xf>
    <xf numFmtId="4" fontId="27" fillId="26" borderId="38" applyNumberFormat="0" applyProtection="0">
      <alignment horizontal="right" vertical="center"/>
    </xf>
    <xf numFmtId="4" fontId="27" fillId="26" borderId="38" applyNumberFormat="0" applyProtection="0">
      <alignment horizontal="right" vertical="center"/>
    </xf>
    <xf numFmtId="4" fontId="27" fillId="26" borderId="38" applyNumberFormat="0" applyProtection="0">
      <alignment horizontal="right" vertical="center"/>
    </xf>
    <xf numFmtId="4" fontId="105" fillId="54" borderId="40" applyNumberFormat="0" applyProtection="0">
      <alignment horizontal="right" vertical="center"/>
    </xf>
    <xf numFmtId="4" fontId="105" fillId="26" borderId="38" applyNumberFormat="0" applyProtection="0">
      <alignment horizontal="right" vertical="center"/>
    </xf>
    <xf numFmtId="4" fontId="105" fillId="26" borderId="38" applyNumberFormat="0" applyProtection="0">
      <alignment horizontal="right" vertical="center"/>
    </xf>
    <xf numFmtId="4" fontId="105" fillId="26" borderId="38" applyNumberFormat="0" applyProtection="0">
      <alignment horizontal="right" vertical="center"/>
    </xf>
    <xf numFmtId="4" fontId="105" fillId="26" borderId="38" applyNumberFormat="0" applyProtection="0">
      <alignment horizontal="right" vertical="center"/>
    </xf>
    <xf numFmtId="4" fontId="105" fillId="26" borderId="38" applyNumberFormat="0" applyProtection="0">
      <alignment horizontal="right" vertical="center"/>
    </xf>
    <xf numFmtId="4" fontId="105" fillId="26" borderId="38" applyNumberFormat="0" applyProtection="0">
      <alignment horizontal="right" vertical="center"/>
    </xf>
    <xf numFmtId="4" fontId="105" fillId="26" borderId="38" applyNumberFormat="0" applyProtection="0">
      <alignment horizontal="right" vertical="center"/>
    </xf>
    <xf numFmtId="4" fontId="105" fillId="26" borderId="38" applyNumberFormat="0" applyProtection="0">
      <alignment horizontal="right" vertical="center"/>
    </xf>
    <xf numFmtId="4" fontId="105" fillId="26" borderId="38" applyNumberFormat="0" applyProtection="0">
      <alignment horizontal="right" vertical="center"/>
    </xf>
    <xf numFmtId="4" fontId="27" fillId="55" borderId="40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27" fillId="55" borderId="40" applyNumberFormat="0" applyProtection="0">
      <alignment horizontal="left" vertical="top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0" fontId="0" fillId="19" borderId="38" applyNumberFormat="0" applyProtection="0">
      <alignment horizontal="left" vertical="center" indent="1"/>
    </xf>
    <xf numFmtId="4" fontId="107" fillId="12" borderId="0" applyNumberFormat="0" applyProtection="0">
      <alignment horizontal="left" vertical="center" indent="1"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157" fillId="0" borderId="0">
      <alignment/>
      <protection/>
    </xf>
    <xf numFmtId="0" fontId="30" fillId="26" borderId="44">
      <alignment/>
      <protection/>
    </xf>
    <xf numFmtId="4" fontId="26" fillId="54" borderId="40" applyNumberFormat="0" applyProtection="0">
      <alignment horizontal="right" vertical="center"/>
    </xf>
    <xf numFmtId="4" fontId="26" fillId="26" borderId="38" applyNumberFormat="0" applyProtection="0">
      <alignment horizontal="right" vertical="center"/>
    </xf>
    <xf numFmtId="4" fontId="26" fillId="26" borderId="38" applyNumberFormat="0" applyProtection="0">
      <alignment horizontal="right" vertical="center"/>
    </xf>
    <xf numFmtId="4" fontId="26" fillId="26" borderId="38" applyNumberFormat="0" applyProtection="0">
      <alignment horizontal="right" vertical="center"/>
    </xf>
    <xf numFmtId="4" fontId="26" fillId="26" borderId="38" applyNumberFormat="0" applyProtection="0">
      <alignment horizontal="right" vertical="center"/>
    </xf>
    <xf numFmtId="4" fontId="26" fillId="26" borderId="38" applyNumberFormat="0" applyProtection="0">
      <alignment horizontal="right" vertical="center"/>
    </xf>
    <xf numFmtId="4" fontId="26" fillId="26" borderId="38" applyNumberFormat="0" applyProtection="0">
      <alignment horizontal="right" vertical="center"/>
    </xf>
    <xf numFmtId="4" fontId="26" fillId="26" borderId="38" applyNumberFormat="0" applyProtection="0">
      <alignment horizontal="right" vertical="center"/>
    </xf>
    <xf numFmtId="4" fontId="26" fillId="26" borderId="38" applyNumberFormat="0" applyProtection="0">
      <alignment horizontal="right" vertical="center"/>
    </xf>
    <xf numFmtId="4" fontId="26" fillId="26" borderId="38" applyNumberFormat="0" applyProtection="0">
      <alignment horizontal="right" vertical="center"/>
    </xf>
    <xf numFmtId="0" fontId="108" fillId="0" borderId="0" applyNumberFormat="0" applyFill="0" applyBorder="0" applyAlignment="0" applyProtection="0"/>
    <xf numFmtId="0" fontId="109" fillId="0" borderId="16">
      <alignment/>
      <protection/>
    </xf>
    <xf numFmtId="14" fontId="41" fillId="15" borderId="0" applyFont="0" applyFill="0" applyBorder="0" applyAlignment="0" applyProtection="0"/>
    <xf numFmtId="204" fontId="41" fillId="15" borderId="0" applyFont="0" applyFill="0" applyBorder="0" applyAlignment="0" applyProtection="0"/>
    <xf numFmtId="3" fontId="32" fillId="0" borderId="0">
      <alignment/>
      <protection/>
    </xf>
    <xf numFmtId="0" fontId="27" fillId="14" borderId="0">
      <alignment/>
      <protection/>
    </xf>
    <xf numFmtId="0" fontId="0" fillId="0" borderId="0">
      <alignment/>
      <protection/>
    </xf>
    <xf numFmtId="205" fontId="0" fillId="0" borderId="0" applyFill="0" applyBorder="0" applyAlignment="0" applyProtection="0"/>
    <xf numFmtId="0" fontId="110" fillId="14" borderId="0" applyNumberFormat="0" applyProtection="0">
      <alignment horizontal="center" vertical="center"/>
    </xf>
    <xf numFmtId="0" fontId="111" fillId="14" borderId="0" applyNumberFormat="0" applyProtection="0">
      <alignment horizontal="center" vertical="center"/>
    </xf>
    <xf numFmtId="0" fontId="110" fillId="14" borderId="0" applyNumberFormat="0" applyProtection="0">
      <alignment horizontal="center" vertical="center"/>
    </xf>
    <xf numFmtId="4" fontId="112" fillId="14" borderId="0" applyProtection="0">
      <alignment horizontal="center" vertical="center"/>
    </xf>
    <xf numFmtId="0" fontId="113" fillId="80" borderId="0" applyNumberFormat="0" applyProtection="0">
      <alignment horizontal="center" vertical="center"/>
    </xf>
    <xf numFmtId="0" fontId="114" fillId="14" borderId="0" applyNumberFormat="0" applyProtection="0">
      <alignment horizontal="center" vertical="center"/>
    </xf>
    <xf numFmtId="0" fontId="115" fillId="81" borderId="0" applyNumberFormat="0" applyProtection="0">
      <alignment horizontal="center" vertical="center"/>
    </xf>
    <xf numFmtId="37" fontId="116" fillId="0" borderId="0" applyNumberFormat="0" applyFill="0" applyBorder="0" applyProtection="0">
      <alignment/>
    </xf>
    <xf numFmtId="37" fontId="117" fillId="0" borderId="0">
      <alignment/>
      <protection/>
    </xf>
    <xf numFmtId="0" fontId="118" fillId="0" borderId="0" applyNumberFormat="0" applyFill="0" applyBorder="0" applyProtection="0">
      <alignment horizontal="left" vertical="center"/>
    </xf>
    <xf numFmtId="38" fontId="119" fillId="0" borderId="0">
      <alignment/>
      <protection/>
    </xf>
    <xf numFmtId="0" fontId="118" fillId="0" borderId="4" applyNumberFormat="0" applyFill="0" applyProtection="0">
      <alignment horizontal="left" vertical="center"/>
    </xf>
    <xf numFmtId="38" fontId="42" fillId="19" borderId="9">
      <alignment horizontal="center" vertical="center"/>
      <protection/>
    </xf>
    <xf numFmtId="0" fontId="120" fillId="0" borderId="45" applyNumberFormat="0" applyAlignment="0" applyProtection="0"/>
    <xf numFmtId="4" fontId="83" fillId="70" borderId="0">
      <alignment vertical="center"/>
      <protection/>
    </xf>
    <xf numFmtId="0" fontId="121" fillId="0" borderId="0" applyBorder="0" applyProtection="0">
      <alignment vertical="center"/>
    </xf>
    <xf numFmtId="8" fontId="0" fillId="0" borderId="6" applyBorder="0" applyProtection="0">
      <alignment horizontal="right" vertical="center"/>
    </xf>
    <xf numFmtId="0" fontId="122" fillId="13" borderId="0" applyBorder="0" applyProtection="0">
      <alignment horizontal="centerContinuous" vertical="center"/>
    </xf>
    <xf numFmtId="0" fontId="122" fillId="81" borderId="6" applyBorder="0" applyProtection="0">
      <alignment horizontal="centerContinuous" vertical="center"/>
    </xf>
    <xf numFmtId="0" fontId="123" fillId="0" borderId="0" applyFill="0" applyBorder="0" applyProtection="0">
      <alignment horizontal="left"/>
    </xf>
    <xf numFmtId="0" fontId="124" fillId="0" borderId="46" applyFill="0" applyBorder="0" applyProtection="0">
      <alignment horizontal="left" vertical="top"/>
    </xf>
    <xf numFmtId="49" fontId="42" fillId="0" borderId="0" applyFont="0" applyFill="0" applyBorder="0" applyAlignment="0" applyProtection="0"/>
    <xf numFmtId="0" fontId="184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25" fillId="0" borderId="47">
      <alignment/>
      <protection/>
    </xf>
    <xf numFmtId="0" fontId="126" fillId="0" borderId="4">
      <alignment/>
      <protection/>
    </xf>
    <xf numFmtId="206" fontId="84" fillId="27" borderId="9" applyProtection="0">
      <alignment horizontal="center" vertical="center"/>
    </xf>
    <xf numFmtId="0" fontId="24" fillId="0" borderId="48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0" fontId="24" fillId="0" borderId="50" applyNumberFormat="0" applyFill="0" applyAlignment="0" applyProtection="0"/>
    <xf numFmtId="0" fontId="24" fillId="0" borderId="50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0" fontId="24" fillId="0" borderId="49" applyNumberFormat="0" applyFill="0" applyAlignment="0" applyProtection="0"/>
    <xf numFmtId="164" fontId="127" fillId="0" borderId="22">
      <alignment horizontal="center"/>
      <protection/>
    </xf>
    <xf numFmtId="0" fontId="128" fillId="3" borderId="0" applyNumberFormat="0" applyFont="0" applyBorder="0" applyAlignment="0" applyProtection="0"/>
    <xf numFmtId="0" fontId="58" fillId="81" borderId="0">
      <alignment/>
      <protection/>
    </xf>
    <xf numFmtId="2" fontId="129" fillId="0" borderId="0">
      <alignment/>
      <protection locked="0"/>
    </xf>
    <xf numFmtId="207" fontId="58" fillId="0" borderId="0" applyFont="0" applyFill="0" applyBorder="0" applyAlignment="0" applyProtection="0"/>
    <xf numFmtId="208" fontId="58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0" fontId="130" fillId="22" borderId="9">
      <alignment horizontal="center" vertical="center" wrapText="1"/>
      <protection/>
    </xf>
    <xf numFmtId="0" fontId="0" fillId="7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48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131" fillId="14" borderId="9">
      <alignment horizontal="center" vertical="center"/>
      <protection/>
    </xf>
    <xf numFmtId="209" fontId="32" fillId="0" borderId="0">
      <alignment horizontal="center"/>
      <protection/>
    </xf>
    <xf numFmtId="2" fontId="132" fillId="0" borderId="0">
      <alignment/>
      <protection/>
    </xf>
    <xf numFmtId="210" fontId="42" fillId="0" borderId="0" applyFont="0" applyFill="0" applyBorder="0" applyAlignment="0" applyProtection="0"/>
    <xf numFmtId="211" fontId="42" fillId="0" borderId="0" applyFont="0" applyFill="0" applyBorder="0" applyAlignment="0" applyProtection="0"/>
    <xf numFmtId="211" fontId="133" fillId="0" borderId="0" applyFont="0" applyFill="0" applyBorder="0" applyAlignment="0" applyProtection="0"/>
    <xf numFmtId="211" fontId="134" fillId="0" borderId="0" applyFont="0" applyFill="0" applyBorder="0" applyAlignment="0" applyProtection="0"/>
    <xf numFmtId="210" fontId="67" fillId="0" borderId="0" applyFont="0" applyFill="0" applyBorder="0" applyAlignment="0" applyProtection="0"/>
    <xf numFmtId="211" fontId="67" fillId="0" borderId="0" applyFont="0" applyFill="0" applyBorder="0" applyAlignment="0" applyProtection="0"/>
    <xf numFmtId="0" fontId="135" fillId="24" borderId="0" applyNumberFormat="0" applyBorder="0" applyAlignment="0" applyProtection="0"/>
    <xf numFmtId="0" fontId="136" fillId="22" borderId="0" applyNumberFormat="0" applyBorder="0" applyAlignment="0" applyProtection="0"/>
    <xf numFmtId="0" fontId="133" fillId="0" borderId="0">
      <alignment/>
      <protection/>
    </xf>
    <xf numFmtId="0" fontId="45" fillId="51" borderId="0" applyNumberFormat="0" applyBorder="0" applyAlignment="0" applyProtection="0"/>
    <xf numFmtId="0" fontId="45" fillId="5" borderId="0" applyNumberFormat="0" applyBorder="0" applyAlignment="0" applyProtection="0"/>
    <xf numFmtId="0" fontId="45" fillId="34" borderId="0" applyNumberFormat="0" applyBorder="0" applyAlignment="0" applyProtection="0"/>
    <xf numFmtId="0" fontId="45" fillId="44" borderId="0" applyNumberFormat="0" applyBorder="0" applyAlignment="0" applyProtection="0"/>
    <xf numFmtId="0" fontId="45" fillId="46" borderId="0" applyNumberFormat="0" applyBorder="0" applyAlignment="0" applyProtection="0"/>
    <xf numFmtId="0" fontId="45" fillId="59" borderId="0" applyNumberFormat="0" applyBorder="0" applyAlignment="0" applyProtection="0"/>
    <xf numFmtId="0" fontId="67" fillId="0" borderId="0">
      <alignment/>
      <protection/>
    </xf>
    <xf numFmtId="0" fontId="137" fillId="0" borderId="0" applyNumberFormat="0" applyFill="0" applyBorder="0" applyAlignment="0" applyProtection="0"/>
    <xf numFmtId="0" fontId="138" fillId="0" borderId="25" applyNumberFormat="0" applyFill="0" applyAlignment="0" applyProtection="0"/>
    <xf numFmtId="0" fontId="139" fillId="0" borderId="28" applyNumberFormat="0" applyFill="0" applyAlignment="0" applyProtection="0"/>
    <xf numFmtId="0" fontId="140" fillId="0" borderId="31" applyNumberFormat="0" applyFill="0" applyAlignment="0" applyProtection="0"/>
    <xf numFmtId="0" fontId="140" fillId="0" borderId="0" applyNumberFormat="0" applyFill="0" applyBorder="0" applyAlignment="0" applyProtection="0"/>
    <xf numFmtId="0" fontId="141" fillId="6" borderId="13" applyNumberFormat="0" applyAlignment="0" applyProtection="0"/>
    <xf numFmtId="0" fontId="142" fillId="0" borderId="0">
      <alignment/>
      <protection/>
    </xf>
    <xf numFmtId="0" fontId="143" fillId="0" borderId="50" applyNumberFormat="0" applyFill="0" applyAlignment="0" applyProtection="0"/>
    <xf numFmtId="0" fontId="144" fillId="16" borderId="36" applyNumberFormat="0" applyFont="0" applyAlignment="0" applyProtection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0" fontId="147" fillId="3" borderId="11" applyNumberFormat="0" applyAlignment="0" applyProtection="0"/>
    <xf numFmtId="0" fontId="148" fillId="15" borderId="11" applyNumberFormat="0" applyAlignment="0" applyProtection="0"/>
    <xf numFmtId="0" fontId="149" fillId="3" borderId="38" applyNumberFormat="0" applyAlignment="0" applyProtection="0"/>
    <xf numFmtId="0" fontId="150" fillId="70" borderId="0" applyNumberFormat="0" applyBorder="0" applyAlignment="0" applyProtection="0"/>
    <xf numFmtId="0" fontId="151" fillId="0" borderId="34" applyNumberFormat="0" applyFill="0" applyAlignment="0" applyProtection="0"/>
  </cellStyleXfs>
  <cellXfs count="390">
    <xf numFmtId="0" fontId="0" fillId="0" borderId="0" xfId="0" applyAlignment="1">
      <alignment/>
    </xf>
    <xf numFmtId="0" fontId="1" fillId="0" borderId="0" xfId="0" applyFont="1" applyAlignment="1">
      <alignment/>
    </xf>
    <xf numFmtId="165" fontId="1" fillId="0" borderId="0" xfId="0" applyNumberFormat="1" applyFont="1" applyAlignment="1">
      <alignment/>
    </xf>
    <xf numFmtId="165" fontId="1" fillId="0" borderId="4" xfId="0" applyNumberFormat="1" applyFont="1" applyBorder="1" applyAlignment="1">
      <alignment/>
    </xf>
    <xf numFmtId="165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51" xfId="0" applyFont="1" applyBorder="1" applyAlignment="1">
      <alignment/>
    </xf>
    <xf numFmtId="0" fontId="1" fillId="0" borderId="51" xfId="0" applyFont="1" applyBorder="1" applyAlignment="1">
      <alignment/>
    </xf>
    <xf numFmtId="0" fontId="0" fillId="0" borderId="51" xfId="0" applyFont="1" applyFill="1" applyBorder="1" applyAlignment="1">
      <alignment/>
    </xf>
    <xf numFmtId="0" fontId="0" fillId="0" borderId="51" xfId="0" applyBorder="1" applyAlignment="1">
      <alignment/>
    </xf>
    <xf numFmtId="165" fontId="0" fillId="0" borderId="51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1" fillId="0" borderId="52" xfId="0" applyNumberFormat="1" applyFont="1" applyBorder="1" applyAlignment="1">
      <alignment/>
    </xf>
    <xf numFmtId="165" fontId="1" fillId="0" borderId="51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52" xfId="0" applyNumberFormat="1" applyFont="1" applyFill="1" applyBorder="1" applyAlignment="1">
      <alignment/>
    </xf>
    <xf numFmtId="0" fontId="0" fillId="70" borderId="53" xfId="0" applyFill="1" applyBorder="1" applyAlignment="1">
      <alignment horizontal="center"/>
    </xf>
    <xf numFmtId="0" fontId="0" fillId="70" borderId="54" xfId="0" applyFill="1" applyBorder="1" applyAlignment="1">
      <alignment horizontal="center"/>
    </xf>
    <xf numFmtId="0" fontId="1" fillId="70" borderId="54" xfId="0" applyFont="1" applyFill="1" applyBorder="1" applyAlignment="1">
      <alignment horizontal="center"/>
    </xf>
    <xf numFmtId="0" fontId="1" fillId="70" borderId="55" xfId="0" applyFont="1" applyFill="1" applyBorder="1" applyAlignment="1">
      <alignment horizontal="center"/>
    </xf>
    <xf numFmtId="0" fontId="1" fillId="70" borderId="51" xfId="0" applyFont="1" applyFill="1" applyBorder="1" applyAlignment="1">
      <alignment horizontal="center"/>
    </xf>
    <xf numFmtId="0" fontId="1" fillId="70" borderId="0" xfId="0" applyFont="1" applyFill="1" applyBorder="1" applyAlignment="1">
      <alignment horizontal="center"/>
    </xf>
    <xf numFmtId="0" fontId="1" fillId="70" borderId="52" xfId="0" applyFont="1" applyFill="1" applyBorder="1" applyAlignment="1">
      <alignment horizontal="center"/>
    </xf>
    <xf numFmtId="165" fontId="1" fillId="0" borderId="56" xfId="0" applyNumberFormat="1" applyFont="1" applyBorder="1" applyAlignment="1">
      <alignment/>
    </xf>
    <xf numFmtId="165" fontId="1" fillId="0" borderId="57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51" xfId="0" applyNumberFormat="1" applyFont="1" applyFill="1" applyBorder="1" applyAlignment="1">
      <alignment/>
    </xf>
    <xf numFmtId="165" fontId="0" fillId="0" borderId="5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5" fontId="0" fillId="0" borderId="52" xfId="0" applyNumberFormat="1" applyBorder="1" applyAlignment="1">
      <alignment/>
    </xf>
    <xf numFmtId="165" fontId="1" fillId="0" borderId="5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59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158" fillId="0" borderId="51" xfId="0" applyFont="1" applyBorder="1" applyAlignment="1">
      <alignment/>
    </xf>
    <xf numFmtId="0" fontId="158" fillId="0" borderId="0" xfId="0" applyFont="1" applyBorder="1" applyAlignment="1">
      <alignment/>
    </xf>
    <xf numFmtId="165" fontId="158" fillId="0" borderId="51" xfId="0" applyNumberFormat="1" applyFont="1" applyBorder="1" applyAlignment="1">
      <alignment/>
    </xf>
    <xf numFmtId="165" fontId="158" fillId="0" borderId="0" xfId="0" applyNumberFormat="1" applyFont="1" applyBorder="1" applyAlignment="1">
      <alignment/>
    </xf>
    <xf numFmtId="165" fontId="159" fillId="0" borderId="52" xfId="0" applyNumberFormat="1" applyFont="1" applyBorder="1" applyAlignment="1">
      <alignment/>
    </xf>
    <xf numFmtId="0" fontId="158" fillId="0" borderId="0" xfId="0" applyFont="1" applyAlignment="1">
      <alignment/>
    </xf>
    <xf numFmtId="165" fontId="0" fillId="0" borderId="59" xfId="0" applyNumberFormat="1" applyBorder="1" applyAlignment="1">
      <alignment/>
    </xf>
    <xf numFmtId="0" fontId="1" fillId="0" borderId="56" xfId="0" applyFont="1" applyBorder="1" applyAlignment="1">
      <alignment/>
    </xf>
    <xf numFmtId="0" fontId="1" fillId="0" borderId="4" xfId="0" applyFont="1" applyFill="1" applyBorder="1" applyAlignment="1">
      <alignment/>
    </xf>
    <xf numFmtId="0" fontId="1" fillId="48" borderId="54" xfId="0" applyFont="1" applyFill="1" applyBorder="1" applyAlignment="1">
      <alignment horizontal="center"/>
    </xf>
    <xf numFmtId="0" fontId="1" fillId="48" borderId="0" xfId="0" applyFont="1" applyFill="1" applyBorder="1" applyAlignment="1">
      <alignment horizontal="center"/>
    </xf>
    <xf numFmtId="0" fontId="1" fillId="48" borderId="52" xfId="0" applyFont="1" applyFill="1" applyBorder="1" applyAlignment="1">
      <alignment horizontal="center"/>
    </xf>
    <xf numFmtId="0" fontId="1" fillId="48" borderId="51" xfId="0" applyFont="1" applyFill="1" applyBorder="1" applyAlignment="1">
      <alignment horizontal="center"/>
    </xf>
    <xf numFmtId="0" fontId="1" fillId="48" borderId="55" xfId="0" applyFont="1" applyFill="1" applyBorder="1" applyAlignment="1">
      <alignment horizontal="center"/>
    </xf>
    <xf numFmtId="165" fontId="158" fillId="0" borderId="52" xfId="0" applyNumberFormat="1" applyFont="1" applyBorder="1" applyAlignment="1">
      <alignment/>
    </xf>
    <xf numFmtId="165" fontId="26" fillId="0" borderId="51" xfId="0" applyNumberFormat="1" applyFont="1" applyBorder="1" applyAlignment="1">
      <alignment/>
    </xf>
    <xf numFmtId="165" fontId="26" fillId="0" borderId="0" xfId="0" applyNumberFormat="1" applyFont="1" applyBorder="1" applyAlignment="1">
      <alignment/>
    </xf>
    <xf numFmtId="165" fontId="160" fillId="0" borderId="52" xfId="0" applyNumberFormat="1" applyFont="1" applyBorder="1" applyAlignment="1">
      <alignment/>
    </xf>
    <xf numFmtId="165" fontId="27" fillId="0" borderId="51" xfId="0" applyNumberFormat="1" applyFont="1" applyBorder="1" applyAlignment="1">
      <alignment/>
    </xf>
    <xf numFmtId="165" fontId="27" fillId="0" borderId="0" xfId="0" applyNumberFormat="1" applyFont="1" applyBorder="1" applyAlignment="1">
      <alignment/>
    </xf>
    <xf numFmtId="165" fontId="28" fillId="0" borderId="52" xfId="0" applyNumberFormat="1" applyFont="1" applyBorder="1" applyAlignment="1">
      <alignment/>
    </xf>
    <xf numFmtId="165" fontId="28" fillId="0" borderId="56" xfId="0" applyNumberFormat="1" applyFont="1" applyBorder="1" applyAlignment="1">
      <alignment/>
    </xf>
    <xf numFmtId="165" fontId="28" fillId="0" borderId="4" xfId="0" applyNumberFormat="1" applyFont="1" applyBorder="1" applyAlignment="1">
      <alignment/>
    </xf>
    <xf numFmtId="165" fontId="28" fillId="0" borderId="57" xfId="0" applyNumberFormat="1" applyFont="1" applyBorder="1" applyAlignment="1">
      <alignment/>
    </xf>
    <xf numFmtId="165" fontId="27" fillId="0" borderId="51" xfId="0" applyNumberFormat="1" applyFont="1" applyFill="1" applyBorder="1" applyAlignment="1">
      <alignment/>
    </xf>
    <xf numFmtId="165" fontId="27" fillId="0" borderId="0" xfId="0" applyNumberFormat="1" applyFont="1" applyFill="1" applyBorder="1" applyAlignment="1">
      <alignment/>
    </xf>
    <xf numFmtId="165" fontId="28" fillId="0" borderId="52" xfId="0" applyNumberFormat="1" applyFont="1" applyFill="1" applyBorder="1" applyAlignment="1">
      <alignment/>
    </xf>
    <xf numFmtId="165" fontId="27" fillId="0" borderId="52" xfId="0" applyNumberFormat="1" applyFont="1" applyBorder="1" applyAlignment="1">
      <alignment/>
    </xf>
    <xf numFmtId="165" fontId="28" fillId="0" borderId="51" xfId="0" applyNumberFormat="1" applyFont="1" applyBorder="1" applyAlignment="1">
      <alignment/>
    </xf>
    <xf numFmtId="0" fontId="27" fillId="0" borderId="51" xfId="0" applyFont="1" applyBorder="1" applyAlignment="1">
      <alignment/>
    </xf>
    <xf numFmtId="165" fontId="28" fillId="0" borderId="58" xfId="0" applyNumberFormat="1" applyFont="1" applyBorder="1" applyAlignment="1">
      <alignment/>
    </xf>
    <xf numFmtId="165" fontId="28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165" fontId="28" fillId="0" borderId="8" xfId="0" applyNumberFormat="1" applyFont="1" applyBorder="1" applyAlignment="1">
      <alignment/>
    </xf>
    <xf numFmtId="165" fontId="28" fillId="0" borderId="59" xfId="0" applyNumberFormat="1" applyFont="1" applyBorder="1" applyAlignment="1">
      <alignment/>
    </xf>
    <xf numFmtId="165" fontId="161" fillId="0" borderId="51" xfId="0" applyNumberFormat="1" applyFont="1" applyBorder="1" applyAlignment="1">
      <alignment/>
    </xf>
    <xf numFmtId="165" fontId="161" fillId="0" borderId="0" xfId="0" applyNumberFormat="1" applyFont="1" applyBorder="1" applyAlignment="1">
      <alignment/>
    </xf>
    <xf numFmtId="165" fontId="162" fillId="0" borderId="5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29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48" borderId="53" xfId="0" applyFont="1" applyFill="1" applyBorder="1" applyAlignment="1">
      <alignment horizontal="center"/>
    </xf>
    <xf numFmtId="0" fontId="0" fillId="48" borderId="54" xfId="0" applyFont="1" applyFill="1" applyBorder="1" applyAlignment="1">
      <alignment horizontal="center"/>
    </xf>
    <xf numFmtId="165" fontId="4" fillId="0" borderId="51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165" fontId="29" fillId="0" borderId="51" xfId="0" applyNumberFormat="1" applyFont="1" applyBorder="1" applyAlignment="1">
      <alignment/>
    </xf>
    <xf numFmtId="165" fontId="0" fillId="0" borderId="52" xfId="0" applyNumberFormat="1" applyFont="1" applyBorder="1" applyAlignment="1">
      <alignment/>
    </xf>
    <xf numFmtId="165" fontId="160" fillId="0" borderId="0" xfId="0" applyNumberFormat="1" applyFont="1" applyBorder="1" applyAlignment="1">
      <alignment/>
    </xf>
    <xf numFmtId="165" fontId="160" fillId="0" borderId="51" xfId="0" applyNumberFormat="1" applyFont="1" applyBorder="1" applyAlignment="1">
      <alignment/>
    </xf>
    <xf numFmtId="0" fontId="27" fillId="0" borderId="51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166" fontId="27" fillId="0" borderId="0" xfId="0" applyNumberFormat="1" applyFont="1" applyFill="1" applyBorder="1" applyAlignment="1">
      <alignment/>
    </xf>
    <xf numFmtId="165" fontId="162" fillId="0" borderId="0" xfId="0" applyNumberFormat="1" applyFont="1" applyBorder="1" applyAlignment="1">
      <alignment/>
    </xf>
    <xf numFmtId="165" fontId="163" fillId="0" borderId="0" xfId="0" applyNumberFormat="1" applyFont="1" applyBorder="1" applyAlignment="1">
      <alignment/>
    </xf>
    <xf numFmtId="165" fontId="28" fillId="0" borderId="0" xfId="0" applyNumberFormat="1" applyFont="1" applyFill="1" applyBorder="1" applyAlignment="1">
      <alignment/>
    </xf>
    <xf numFmtId="165" fontId="28" fillId="0" borderId="60" xfId="0" applyNumberFormat="1" applyFont="1" applyBorder="1" applyAlignment="1">
      <alignment/>
    </xf>
    <xf numFmtId="165" fontId="28" fillId="0" borderId="22" xfId="0" applyNumberFormat="1" applyFont="1" applyBorder="1" applyAlignment="1">
      <alignment/>
    </xf>
    <xf numFmtId="165" fontId="28" fillId="0" borderId="61" xfId="0" applyNumberFormat="1" applyFont="1" applyBorder="1" applyAlignment="1">
      <alignment/>
    </xf>
    <xf numFmtId="165" fontId="0" fillId="0" borderId="61" xfId="0" applyNumberFormat="1" applyBorder="1" applyAlignment="1">
      <alignment/>
    </xf>
    <xf numFmtId="165" fontId="1" fillId="0" borderId="60" xfId="0" applyNumberFormat="1" applyFont="1" applyBorder="1" applyAlignment="1">
      <alignment/>
    </xf>
    <xf numFmtId="165" fontId="0" fillId="0" borderId="58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27" fillId="0" borderId="22" xfId="0" applyNumberFormat="1" applyFont="1" applyBorder="1" applyAlignment="1">
      <alignment/>
    </xf>
    <xf numFmtId="0" fontId="1" fillId="9" borderId="56" xfId="0" applyFont="1" applyFill="1" applyBorder="1" applyAlignment="1">
      <alignment/>
    </xf>
    <xf numFmtId="0" fontId="1" fillId="9" borderId="4" xfId="0" applyFont="1" applyFill="1" applyBorder="1" applyAlignment="1">
      <alignment/>
    </xf>
    <xf numFmtId="165" fontId="1" fillId="9" borderId="56" xfId="0" applyNumberFormat="1" applyFont="1" applyFill="1" applyBorder="1" applyAlignment="1">
      <alignment/>
    </xf>
    <xf numFmtId="165" fontId="1" fillId="9" borderId="4" xfId="0" applyNumberFormat="1" applyFont="1" applyFill="1" applyBorder="1" applyAlignment="1">
      <alignment/>
    </xf>
    <xf numFmtId="165" fontId="1" fillId="9" borderId="57" xfId="0" applyNumberFormat="1" applyFont="1" applyFill="1" applyBorder="1" applyAlignment="1">
      <alignment/>
    </xf>
    <xf numFmtId="165" fontId="28" fillId="9" borderId="56" xfId="0" applyNumberFormat="1" applyFont="1" applyFill="1" applyBorder="1" applyAlignment="1">
      <alignment/>
    </xf>
    <xf numFmtId="165" fontId="28" fillId="9" borderId="4" xfId="0" applyNumberFormat="1" applyFont="1" applyFill="1" applyBorder="1" applyAlignment="1">
      <alignment/>
    </xf>
    <xf numFmtId="165" fontId="28" fillId="9" borderId="57" xfId="0" applyNumberFormat="1" applyFont="1" applyFill="1" applyBorder="1" applyAlignment="1">
      <alignment/>
    </xf>
    <xf numFmtId="0" fontId="0" fillId="14" borderId="51" xfId="0" applyFont="1" applyFill="1" applyBorder="1" applyAlignment="1">
      <alignment/>
    </xf>
    <xf numFmtId="0" fontId="0" fillId="14" borderId="0" xfId="0" applyFont="1" applyFill="1" applyBorder="1" applyAlignment="1">
      <alignment/>
    </xf>
    <xf numFmtId="165" fontId="0" fillId="14" borderId="51" xfId="0" applyNumberFormat="1" applyFont="1" applyFill="1" applyBorder="1" applyAlignment="1">
      <alignment/>
    </xf>
    <xf numFmtId="165" fontId="0" fillId="14" borderId="0" xfId="0" applyNumberFormat="1" applyFont="1" applyFill="1" applyBorder="1" applyAlignment="1">
      <alignment/>
    </xf>
    <xf numFmtId="165" fontId="1" fillId="14" borderId="52" xfId="0" applyNumberFormat="1" applyFont="1" applyFill="1" applyBorder="1" applyAlignment="1">
      <alignment/>
    </xf>
    <xf numFmtId="165" fontId="27" fillId="14" borderId="0" xfId="0" applyNumberFormat="1" applyFont="1" applyFill="1" applyBorder="1" applyAlignment="1">
      <alignment/>
    </xf>
    <xf numFmtId="165" fontId="0" fillId="14" borderId="51" xfId="0" applyNumberFormat="1" applyFill="1" applyBorder="1" applyAlignment="1">
      <alignment/>
    </xf>
    <xf numFmtId="165" fontId="0" fillId="14" borderId="0" xfId="0" applyNumberFormat="1" applyFill="1" applyBorder="1" applyAlignment="1">
      <alignment/>
    </xf>
    <xf numFmtId="165" fontId="0" fillId="14" borderId="52" xfId="0" applyNumberFormat="1" applyFill="1" applyBorder="1" applyAlignment="1">
      <alignment/>
    </xf>
    <xf numFmtId="165" fontId="27" fillId="14" borderId="51" xfId="0" applyNumberFormat="1" applyFont="1" applyFill="1" applyBorder="1" applyAlignment="1">
      <alignment/>
    </xf>
    <xf numFmtId="165" fontId="28" fillId="14" borderId="52" xfId="0" applyNumberFormat="1" applyFont="1" applyFill="1" applyBorder="1" applyAlignment="1">
      <alignment/>
    </xf>
    <xf numFmtId="165" fontId="0" fillId="0" borderId="52" xfId="0" applyNumberFormat="1" applyFont="1" applyFill="1" applyBorder="1" applyAlignment="1">
      <alignment/>
    </xf>
    <xf numFmtId="0" fontId="0" fillId="9" borderId="4" xfId="0" applyFont="1" applyFill="1" applyBorder="1" applyAlignment="1">
      <alignment/>
    </xf>
    <xf numFmtId="0" fontId="1" fillId="72" borderId="3" xfId="0" applyFont="1" applyFill="1" applyBorder="1" applyAlignment="1">
      <alignment/>
    </xf>
    <xf numFmtId="0" fontId="1" fillId="72" borderId="4" xfId="0" applyFont="1" applyFill="1" applyBorder="1" applyAlignment="1">
      <alignment/>
    </xf>
    <xf numFmtId="165" fontId="1" fillId="72" borderId="56" xfId="0" applyNumberFormat="1" applyFont="1" applyFill="1" applyBorder="1" applyAlignment="1">
      <alignment/>
    </xf>
    <xf numFmtId="165" fontId="1" fillId="72" borderId="4" xfId="0" applyNumberFormat="1" applyFont="1" applyFill="1" applyBorder="1" applyAlignment="1">
      <alignment/>
    </xf>
    <xf numFmtId="165" fontId="1" fillId="72" borderId="57" xfId="0" applyNumberFormat="1" applyFont="1" applyFill="1" applyBorder="1" applyAlignment="1">
      <alignment/>
    </xf>
    <xf numFmtId="165" fontId="28" fillId="72" borderId="56" xfId="0" applyNumberFormat="1" applyFont="1" applyFill="1" applyBorder="1" applyAlignment="1">
      <alignment/>
    </xf>
    <xf numFmtId="165" fontId="28" fillId="72" borderId="4" xfId="0" applyNumberFormat="1" applyFont="1" applyFill="1" applyBorder="1" applyAlignment="1">
      <alignment/>
    </xf>
    <xf numFmtId="165" fontId="28" fillId="72" borderId="57" xfId="0" applyNumberFormat="1" applyFont="1" applyFill="1" applyBorder="1" applyAlignment="1">
      <alignment/>
    </xf>
    <xf numFmtId="0" fontId="1" fillId="72" borderId="58" xfId="0" applyFont="1" applyFill="1" applyBorder="1" applyAlignment="1">
      <alignment/>
    </xf>
    <xf numFmtId="0" fontId="1" fillId="72" borderId="8" xfId="0" applyFont="1" applyFill="1" applyBorder="1" applyAlignment="1">
      <alignment/>
    </xf>
    <xf numFmtId="165" fontId="1" fillId="72" borderId="58" xfId="0" applyNumberFormat="1" applyFont="1" applyFill="1" applyBorder="1" applyAlignment="1">
      <alignment/>
    </xf>
    <xf numFmtId="165" fontId="1" fillId="72" borderId="8" xfId="0" applyNumberFormat="1" applyFont="1" applyFill="1" applyBorder="1" applyAlignment="1">
      <alignment/>
    </xf>
    <xf numFmtId="165" fontId="1" fillId="72" borderId="59" xfId="0" applyNumberFormat="1" applyFont="1" applyFill="1" applyBorder="1" applyAlignment="1">
      <alignment/>
    </xf>
    <xf numFmtId="165" fontId="28" fillId="72" borderId="58" xfId="0" applyNumberFormat="1" applyFont="1" applyFill="1" applyBorder="1" applyAlignment="1">
      <alignment/>
    </xf>
    <xf numFmtId="165" fontId="28" fillId="72" borderId="8" xfId="0" applyNumberFormat="1" applyFont="1" applyFill="1" applyBorder="1" applyAlignment="1">
      <alignment/>
    </xf>
    <xf numFmtId="165" fontId="28" fillId="72" borderId="59" xfId="0" applyNumberFormat="1" applyFont="1" applyFill="1" applyBorder="1" applyAlignment="1">
      <alignment/>
    </xf>
    <xf numFmtId="165" fontId="28" fillId="72" borderId="51" xfId="0" applyNumberFormat="1" applyFont="1" applyFill="1" applyBorder="1" applyAlignment="1">
      <alignment/>
    </xf>
    <xf numFmtId="165" fontId="28" fillId="72" borderId="0" xfId="0" applyNumberFormat="1" applyFont="1" applyFill="1" applyBorder="1" applyAlignment="1">
      <alignment/>
    </xf>
    <xf numFmtId="165" fontId="28" fillId="72" borderId="52" xfId="0" applyNumberFormat="1" applyFont="1" applyFill="1" applyBorder="1" applyAlignment="1">
      <alignment/>
    </xf>
    <xf numFmtId="165" fontId="1" fillId="72" borderId="51" xfId="0" applyNumberFormat="1" applyFont="1" applyFill="1" applyBorder="1" applyAlignment="1">
      <alignment/>
    </xf>
    <xf numFmtId="165" fontId="1" fillId="72" borderId="52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165" fontId="1" fillId="0" borderId="0" xfId="0" applyNumberFormat="1" applyFont="1" applyFill="1" applyAlignment="1">
      <alignment/>
    </xf>
    <xf numFmtId="7" fontId="1" fillId="0" borderId="0" xfId="0" applyNumberFormat="1" applyFont="1" applyBorder="1" applyAlignment="1">
      <alignment/>
    </xf>
    <xf numFmtId="7" fontId="28" fillId="0" borderId="0" xfId="0" applyNumberFormat="1" applyFont="1" applyBorder="1" applyAlignment="1">
      <alignment/>
    </xf>
    <xf numFmtId="0" fontId="158" fillId="0" borderId="0" xfId="0" applyFont="1" applyFill="1" applyAlignment="1">
      <alignment/>
    </xf>
    <xf numFmtId="166" fontId="27" fillId="0" borderId="0" xfId="0" applyNumberFormat="1" applyFont="1" applyBorder="1" applyAlignment="1">
      <alignment/>
    </xf>
    <xf numFmtId="166" fontId="28" fillId="9" borderId="57" xfId="0" applyNumberFormat="1" applyFont="1" applyFill="1" applyBorder="1" applyAlignment="1">
      <alignment/>
    </xf>
    <xf numFmtId="166" fontId="0" fillId="0" borderId="51" xfId="0" applyNumberFormat="1" applyFont="1" applyBorder="1" applyAlignment="1">
      <alignment/>
    </xf>
    <xf numFmtId="166" fontId="0" fillId="0" borderId="52" xfId="0" applyNumberFormat="1" applyFont="1" applyBorder="1" applyAlignment="1">
      <alignment/>
    </xf>
    <xf numFmtId="166" fontId="28" fillId="72" borderId="57" xfId="0" applyNumberFormat="1" applyFont="1" applyFill="1" applyBorder="1" applyAlignment="1">
      <alignment/>
    </xf>
    <xf numFmtId="166" fontId="1" fillId="0" borderId="52" xfId="0" applyNumberFormat="1" applyFont="1" applyBorder="1" applyAlignment="1">
      <alignment/>
    </xf>
    <xf numFmtId="166" fontId="28" fillId="0" borderId="57" xfId="0" applyNumberFormat="1" applyFont="1" applyBorder="1" applyAlignment="1">
      <alignment/>
    </xf>
    <xf numFmtId="166" fontId="28" fillId="0" borderId="60" xfId="0" applyNumberFormat="1" applyFont="1" applyBorder="1" applyAlignment="1">
      <alignment/>
    </xf>
    <xf numFmtId="166" fontId="0" fillId="0" borderId="0" xfId="0" applyNumberFormat="1" applyAlignment="1">
      <alignment/>
    </xf>
    <xf numFmtId="166" fontId="0" fillId="0" borderId="51" xfId="0" applyNumberFormat="1" applyFont="1" applyFill="1" applyBorder="1" applyAlignment="1">
      <alignment/>
    </xf>
    <xf numFmtId="0" fontId="0" fillId="25" borderId="51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165" fontId="0" fillId="25" borderId="51" xfId="0" applyNumberFormat="1" applyFont="1" applyFill="1" applyBorder="1" applyAlignment="1">
      <alignment/>
    </xf>
    <xf numFmtId="165" fontId="0" fillId="25" borderId="0" xfId="0" applyNumberFormat="1" applyFont="1" applyFill="1" applyBorder="1" applyAlignment="1">
      <alignment/>
    </xf>
    <xf numFmtId="165" fontId="1" fillId="25" borderId="52" xfId="0" applyNumberFormat="1" applyFont="1" applyFill="1" applyBorder="1" applyAlignment="1">
      <alignment/>
    </xf>
    <xf numFmtId="165" fontId="0" fillId="25" borderId="51" xfId="0" applyNumberFormat="1" applyFill="1" applyBorder="1" applyAlignment="1">
      <alignment/>
    </xf>
    <xf numFmtId="165" fontId="0" fillId="25" borderId="0" xfId="0" applyNumberFormat="1" applyFill="1" applyBorder="1" applyAlignment="1">
      <alignment/>
    </xf>
    <xf numFmtId="165" fontId="0" fillId="25" borderId="52" xfId="0" applyNumberFormat="1" applyFill="1" applyBorder="1" applyAlignment="1">
      <alignment/>
    </xf>
    <xf numFmtId="165" fontId="27" fillId="25" borderId="0" xfId="0" applyNumberFormat="1" applyFont="1" applyFill="1" applyBorder="1" applyAlignment="1">
      <alignment/>
    </xf>
    <xf numFmtId="165" fontId="1" fillId="25" borderId="0" xfId="0" applyNumberFormat="1" applyFont="1" applyFill="1" applyBorder="1" applyAlignment="1">
      <alignment/>
    </xf>
    <xf numFmtId="165" fontId="28" fillId="25" borderId="0" xfId="0" applyNumberFormat="1" applyFont="1" applyFill="1" applyBorder="1" applyAlignment="1">
      <alignment/>
    </xf>
    <xf numFmtId="165" fontId="28" fillId="25" borderId="52" xfId="0" applyNumberFormat="1" applyFont="1" applyFill="1" applyBorder="1" applyAlignment="1">
      <alignment/>
    </xf>
    <xf numFmtId="165" fontId="27" fillId="25" borderId="51" xfId="0" applyNumberFormat="1" applyFont="1" applyFill="1" applyBorder="1" applyAlignment="1">
      <alignment/>
    </xf>
    <xf numFmtId="165" fontId="0" fillId="25" borderId="52" xfId="0" applyNumberFormat="1" applyFont="1" applyFill="1" applyBorder="1" applyAlignment="1">
      <alignment/>
    </xf>
    <xf numFmtId="166" fontId="0" fillId="25" borderId="52" xfId="0" applyNumberFormat="1" applyFont="1" applyFill="1" applyBorder="1" applyAlignment="1">
      <alignment/>
    </xf>
    <xf numFmtId="0" fontId="27" fillId="25" borderId="51" xfId="0" applyFont="1" applyFill="1" applyBorder="1" applyAlignment="1">
      <alignment/>
    </xf>
    <xf numFmtId="0" fontId="27" fillId="25" borderId="0" xfId="0" applyFont="1" applyFill="1" applyBorder="1" applyAlignment="1">
      <alignment/>
    </xf>
    <xf numFmtId="7" fontId="28" fillId="25" borderId="0" xfId="0" applyNumberFormat="1" applyFont="1" applyFill="1" applyBorder="1" applyAlignment="1">
      <alignment/>
    </xf>
    <xf numFmtId="0" fontId="1" fillId="25" borderId="51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33" borderId="53" xfId="0" applyFill="1" applyBorder="1" applyAlignment="1">
      <alignment/>
    </xf>
    <xf numFmtId="0" fontId="27" fillId="33" borderId="54" xfId="0" applyFont="1" applyFill="1" applyBorder="1" applyAlignment="1">
      <alignment/>
    </xf>
    <xf numFmtId="0" fontId="0" fillId="33" borderId="55" xfId="0" applyFill="1" applyBorder="1" applyAlignment="1">
      <alignment/>
    </xf>
    <xf numFmtId="0" fontId="1" fillId="33" borderId="51" xfId="0" applyFont="1" applyFill="1" applyBorder="1" applyAlignment="1">
      <alignment horizontal="center"/>
    </xf>
    <xf numFmtId="0" fontId="28" fillId="33" borderId="0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0" fillId="32" borderId="53" xfId="0" applyFill="1" applyBorder="1" applyAlignment="1">
      <alignment horizontal="center"/>
    </xf>
    <xf numFmtId="0" fontId="0" fillId="32" borderId="54" xfId="0" applyFill="1" applyBorder="1" applyAlignment="1">
      <alignment horizontal="center"/>
    </xf>
    <xf numFmtId="0" fontId="1" fillId="32" borderId="54" xfId="0" applyFont="1" applyFill="1" applyBorder="1" applyAlignment="1">
      <alignment horizontal="center"/>
    </xf>
    <xf numFmtId="0" fontId="1" fillId="32" borderId="55" xfId="0" applyFont="1" applyFill="1" applyBorder="1" applyAlignment="1">
      <alignment horizontal="center"/>
    </xf>
    <xf numFmtId="0" fontId="1" fillId="32" borderId="51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0" fontId="1" fillId="32" borderId="52" xfId="0" applyFont="1" applyFill="1" applyBorder="1" applyAlignment="1">
      <alignment horizontal="center"/>
    </xf>
    <xf numFmtId="0" fontId="1" fillId="82" borderId="51" xfId="0" applyFont="1" applyFill="1" applyBorder="1" applyAlignment="1">
      <alignment horizontal="center"/>
    </xf>
    <xf numFmtId="0" fontId="1" fillId="82" borderId="52" xfId="0" applyFont="1" applyFill="1" applyBorder="1" applyAlignment="1">
      <alignment horizontal="center"/>
    </xf>
    <xf numFmtId="0" fontId="0" fillId="83" borderId="53" xfId="0" applyFill="1" applyBorder="1" applyAlignment="1">
      <alignment/>
    </xf>
    <xf numFmtId="0" fontId="28" fillId="83" borderId="54" xfId="0" applyFont="1" applyFill="1" applyBorder="1" applyAlignment="1">
      <alignment horizontal="center"/>
    </xf>
    <xf numFmtId="0" fontId="27" fillId="83" borderId="54" xfId="0" applyFont="1" applyFill="1" applyBorder="1" applyAlignment="1">
      <alignment/>
    </xf>
    <xf numFmtId="0" fontId="0" fillId="83" borderId="55" xfId="0" applyFill="1" applyBorder="1" applyAlignment="1">
      <alignment/>
    </xf>
    <xf numFmtId="0" fontId="1" fillId="83" borderId="51" xfId="0" applyFont="1" applyFill="1" applyBorder="1" applyAlignment="1">
      <alignment horizontal="center"/>
    </xf>
    <xf numFmtId="0" fontId="28" fillId="83" borderId="0" xfId="0" applyFont="1" applyFill="1" applyBorder="1" applyAlignment="1">
      <alignment horizontal="center"/>
    </xf>
    <xf numFmtId="0" fontId="1" fillId="83" borderId="52" xfId="0" applyFont="1" applyFill="1" applyBorder="1" applyAlignment="1">
      <alignment horizontal="center"/>
    </xf>
    <xf numFmtId="0" fontId="0" fillId="84" borderId="53" xfId="0" applyFill="1" applyBorder="1" applyAlignment="1">
      <alignment/>
    </xf>
    <xf numFmtId="0" fontId="0" fillId="84" borderId="54" xfId="0" applyFill="1" applyBorder="1" applyAlignment="1">
      <alignment/>
    </xf>
    <xf numFmtId="0" fontId="0" fillId="84" borderId="51" xfId="0" applyFont="1" applyFill="1" applyBorder="1" applyAlignment="1">
      <alignment/>
    </xf>
    <xf numFmtId="0" fontId="0" fillId="84" borderId="0" xfId="0" applyFill="1" applyBorder="1" applyAlignment="1">
      <alignment/>
    </xf>
    <xf numFmtId="0" fontId="1" fillId="84" borderId="51" xfId="0" applyFont="1" applyFill="1" applyBorder="1" applyAlignment="1">
      <alignment horizontal="center"/>
    </xf>
    <xf numFmtId="0" fontId="1" fillId="84" borderId="0" xfId="0" applyFont="1" applyFill="1" applyBorder="1" applyAlignment="1">
      <alignment horizontal="center"/>
    </xf>
    <xf numFmtId="0" fontId="0" fillId="42" borderId="53" xfId="0" applyFill="1" applyBorder="1" applyAlignment="1">
      <alignment/>
    </xf>
    <xf numFmtId="0" fontId="1" fillId="42" borderId="54" xfId="0" applyFont="1" applyFill="1" applyBorder="1" applyAlignment="1">
      <alignment horizontal="center"/>
    </xf>
    <xf numFmtId="0" fontId="0" fillId="42" borderId="55" xfId="0" applyFill="1" applyBorder="1" applyAlignment="1">
      <alignment/>
    </xf>
    <xf numFmtId="0" fontId="1" fillId="42" borderId="51" xfId="0" applyFont="1" applyFill="1" applyBorder="1" applyAlignment="1">
      <alignment horizontal="center"/>
    </xf>
    <xf numFmtId="0" fontId="1" fillId="42" borderId="0" xfId="0" applyFont="1" applyFill="1" applyBorder="1" applyAlignment="1">
      <alignment horizontal="center"/>
    </xf>
    <xf numFmtId="0" fontId="1" fillId="42" borderId="52" xfId="0" applyFont="1" applyFill="1" applyBorder="1" applyAlignment="1">
      <alignment horizontal="center"/>
    </xf>
    <xf numFmtId="0" fontId="0" fillId="82" borderId="53" xfId="0" applyFill="1" applyBorder="1" applyAlignment="1">
      <alignment horizontal="center"/>
    </xf>
    <xf numFmtId="0" fontId="0" fillId="82" borderId="54" xfId="0" applyFill="1" applyBorder="1" applyAlignment="1">
      <alignment horizontal="center"/>
    </xf>
    <xf numFmtId="0" fontId="1" fillId="82" borderId="54" xfId="0" applyFont="1" applyFill="1" applyBorder="1" applyAlignment="1">
      <alignment horizontal="center"/>
    </xf>
    <xf numFmtId="0" fontId="1" fillId="82" borderId="55" xfId="0" applyFont="1" applyFill="1" applyBorder="1" applyAlignment="1">
      <alignment horizontal="center"/>
    </xf>
    <xf numFmtId="0" fontId="1" fillId="82" borderId="0" xfId="0" applyFont="1" applyFill="1" applyBorder="1" applyAlignment="1">
      <alignment horizontal="center"/>
    </xf>
    <xf numFmtId="0" fontId="0" fillId="85" borderId="53" xfId="0" applyFill="1" applyBorder="1" applyAlignment="1">
      <alignment horizontal="center"/>
    </xf>
    <xf numFmtId="0" fontId="0" fillId="85" borderId="54" xfId="0" applyFill="1" applyBorder="1" applyAlignment="1">
      <alignment horizontal="center"/>
    </xf>
    <xf numFmtId="0" fontId="1" fillId="85" borderId="54" xfId="0" applyFont="1" applyFill="1" applyBorder="1" applyAlignment="1">
      <alignment horizontal="center"/>
    </xf>
    <xf numFmtId="0" fontId="1" fillId="85" borderId="55" xfId="0" applyFont="1" applyFill="1" applyBorder="1" applyAlignment="1">
      <alignment horizontal="center"/>
    </xf>
    <xf numFmtId="0" fontId="1" fillId="85" borderId="51" xfId="0" applyFont="1" applyFill="1" applyBorder="1" applyAlignment="1">
      <alignment horizontal="center"/>
    </xf>
    <xf numFmtId="0" fontId="1" fillId="85" borderId="0" xfId="0" applyFont="1" applyFill="1" applyBorder="1" applyAlignment="1">
      <alignment horizontal="center"/>
    </xf>
    <xf numFmtId="0" fontId="1" fillId="85" borderId="52" xfId="0" applyFont="1" applyFill="1" applyBorder="1" applyAlignment="1">
      <alignment horizontal="center"/>
    </xf>
    <xf numFmtId="0" fontId="0" fillId="37" borderId="53" xfId="0" applyFill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1" fillId="37" borderId="54" xfId="0" applyFont="1" applyFill="1" applyBorder="1" applyAlignment="1">
      <alignment horizontal="center"/>
    </xf>
    <xf numFmtId="0" fontId="1" fillId="37" borderId="51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0" fillId="35" borderId="53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1" fillId="35" borderId="54" xfId="0" applyFont="1" applyFill="1" applyBorder="1" applyAlignment="1">
      <alignment horizontal="center"/>
    </xf>
    <xf numFmtId="0" fontId="1" fillId="35" borderId="55" xfId="0" applyFont="1" applyFill="1" applyBorder="1" applyAlignment="1">
      <alignment horizontal="center"/>
    </xf>
    <xf numFmtId="0" fontId="1" fillId="35" borderId="51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35" borderId="52" xfId="0" applyFont="1" applyFill="1" applyBorder="1" applyAlignment="1">
      <alignment horizontal="center"/>
    </xf>
    <xf numFmtId="165" fontId="0" fillId="25" borderId="62" xfId="0" applyNumberFormat="1" applyFont="1" applyFill="1" applyBorder="1" applyAlignment="1">
      <alignment/>
    </xf>
    <xf numFmtId="165" fontId="0" fillId="25" borderId="63" xfId="0" applyNumberFormat="1" applyFont="1" applyFill="1" applyBorder="1" applyAlignment="1">
      <alignment/>
    </xf>
    <xf numFmtId="166" fontId="1" fillId="0" borderId="0" xfId="0" applyNumberFormat="1" applyFont="1" applyAlignment="1">
      <alignment/>
    </xf>
    <xf numFmtId="166" fontId="1" fillId="0" borderId="0" xfId="0" applyNumberFormat="1" applyFont="1" applyFill="1" applyAlignment="1">
      <alignment/>
    </xf>
    <xf numFmtId="0" fontId="0" fillId="86" borderId="53" xfId="0" applyFill="1" applyBorder="1" applyAlignment="1">
      <alignment horizontal="center"/>
    </xf>
    <xf numFmtId="0" fontId="0" fillId="86" borderId="54" xfId="0" applyFill="1" applyBorder="1" applyAlignment="1">
      <alignment horizontal="center"/>
    </xf>
    <xf numFmtId="0" fontId="1" fillId="86" borderId="54" xfId="0" applyFont="1" applyFill="1" applyBorder="1" applyAlignment="1">
      <alignment horizontal="center"/>
    </xf>
    <xf numFmtId="0" fontId="1" fillId="86" borderId="55" xfId="0" applyFont="1" applyFill="1" applyBorder="1" applyAlignment="1">
      <alignment horizontal="center"/>
    </xf>
    <xf numFmtId="0" fontId="1" fillId="86" borderId="51" xfId="0" applyFont="1" applyFill="1" applyBorder="1" applyAlignment="1">
      <alignment horizontal="center"/>
    </xf>
    <xf numFmtId="0" fontId="1" fillId="86" borderId="0" xfId="0" applyFont="1" applyFill="1" applyBorder="1" applyAlignment="1">
      <alignment horizontal="center"/>
    </xf>
    <xf numFmtId="0" fontId="1" fillId="86" borderId="52" xfId="0" applyFont="1" applyFill="1" applyBorder="1" applyAlignment="1">
      <alignment horizontal="center"/>
    </xf>
    <xf numFmtId="0" fontId="28" fillId="33" borderId="54" xfId="0" applyFont="1" applyFill="1" applyBorder="1" applyAlignment="1">
      <alignment horizontal="center"/>
    </xf>
    <xf numFmtId="166" fontId="27" fillId="0" borderId="51" xfId="0" applyNumberFormat="1" applyFont="1" applyBorder="1" applyAlignment="1">
      <alignment/>
    </xf>
    <xf numFmtId="166" fontId="28" fillId="0" borderId="0" xfId="0" applyNumberFormat="1" applyFont="1" applyBorder="1" applyAlignment="1">
      <alignment/>
    </xf>
    <xf numFmtId="166" fontId="28" fillId="0" borderId="52" xfId="0" applyNumberFormat="1" applyFont="1" applyBorder="1" applyAlignment="1">
      <alignment/>
    </xf>
    <xf numFmtId="166" fontId="0" fillId="0" borderId="0" xfId="0" applyNumberFormat="1" applyFont="1" applyBorder="1" applyAlignment="1">
      <alignment/>
    </xf>
    <xf numFmtId="166" fontId="27" fillId="25" borderId="51" xfId="0" applyNumberFormat="1" applyFont="1" applyFill="1" applyBorder="1" applyAlignment="1">
      <alignment/>
    </xf>
    <xf numFmtId="166" fontId="0" fillId="25" borderId="0" xfId="0" applyNumberFormat="1" applyFont="1" applyFill="1" applyBorder="1" applyAlignment="1">
      <alignment/>
    </xf>
    <xf numFmtId="166" fontId="27" fillId="25" borderId="0" xfId="0" applyNumberFormat="1" applyFont="1" applyFill="1" applyBorder="1" applyAlignment="1">
      <alignment/>
    </xf>
    <xf numFmtId="166" fontId="28" fillId="25" borderId="52" xfId="0" applyNumberFormat="1" applyFont="1" applyFill="1" applyBorder="1" applyAlignment="1">
      <alignment/>
    </xf>
    <xf numFmtId="166" fontId="28" fillId="9" borderId="56" xfId="0" applyNumberFormat="1" applyFont="1" applyFill="1" applyBorder="1" applyAlignment="1">
      <alignment/>
    </xf>
    <xf numFmtId="166" fontId="1" fillId="9" borderId="4" xfId="0" applyNumberFormat="1" applyFont="1" applyFill="1" applyBorder="1" applyAlignment="1">
      <alignment/>
    </xf>
    <xf numFmtId="166" fontId="28" fillId="9" borderId="4" xfId="0" applyNumberFormat="1" applyFont="1" applyFill="1" applyBorder="1" applyAlignment="1">
      <alignment/>
    </xf>
    <xf numFmtId="166" fontId="160" fillId="0" borderId="51" xfId="0" applyNumberFormat="1" applyFont="1" applyBorder="1" applyAlignment="1">
      <alignment/>
    </xf>
    <xf numFmtId="166" fontId="160" fillId="0" borderId="0" xfId="0" applyNumberFormat="1" applyFont="1" applyBorder="1" applyAlignment="1">
      <alignment/>
    </xf>
    <xf numFmtId="166" fontId="160" fillId="0" borderId="52" xfId="0" applyNumberFormat="1" applyFont="1" applyBorder="1" applyAlignment="1">
      <alignment/>
    </xf>
    <xf numFmtId="166" fontId="27" fillId="0" borderId="51" xfId="0" applyNumberFormat="1" applyFont="1" applyFill="1" applyBorder="1" applyAlignment="1">
      <alignment/>
    </xf>
    <xf numFmtId="166" fontId="0" fillId="25" borderId="51" xfId="0" applyNumberFormat="1" applyFont="1" applyFill="1" applyBorder="1" applyAlignment="1">
      <alignment/>
    </xf>
    <xf numFmtId="166" fontId="27" fillId="14" borderId="51" xfId="0" applyNumberFormat="1" applyFont="1" applyFill="1" applyBorder="1" applyAlignment="1">
      <alignment/>
    </xf>
    <xf numFmtId="166" fontId="28" fillId="0" borderId="52" xfId="0" applyNumberFormat="1" applyFont="1" applyFill="1" applyBorder="1" applyAlignment="1">
      <alignment/>
    </xf>
    <xf numFmtId="166" fontId="1" fillId="9" borderId="56" xfId="0" applyNumberFormat="1" applyFont="1" applyFill="1" applyBorder="1" applyAlignment="1">
      <alignment/>
    </xf>
    <xf numFmtId="166" fontId="28" fillId="72" borderId="56" xfId="0" applyNumberFormat="1" applyFont="1" applyFill="1" applyBorder="1" applyAlignment="1">
      <alignment/>
    </xf>
    <xf numFmtId="166" fontId="28" fillId="72" borderId="4" xfId="0" applyNumberFormat="1" applyFont="1" applyFill="1" applyBorder="1" applyAlignment="1">
      <alignment/>
    </xf>
    <xf numFmtId="166" fontId="161" fillId="0" borderId="51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161" fillId="0" borderId="0" xfId="0" applyNumberFormat="1" applyFont="1" applyBorder="1" applyAlignment="1">
      <alignment/>
    </xf>
    <xf numFmtId="166" fontId="162" fillId="0" borderId="0" xfId="0" applyNumberFormat="1" applyFont="1" applyBorder="1" applyAlignment="1">
      <alignment/>
    </xf>
    <xf numFmtId="166" fontId="162" fillId="0" borderId="52" xfId="0" applyNumberFormat="1" applyFont="1" applyBorder="1" applyAlignment="1">
      <alignment/>
    </xf>
    <xf numFmtId="166" fontId="28" fillId="0" borderId="51" xfId="0" applyNumberFormat="1" applyFont="1" applyBorder="1" applyAlignment="1">
      <alignment/>
    </xf>
    <xf numFmtId="166" fontId="1" fillId="0" borderId="0" xfId="0" applyNumberFormat="1" applyFont="1" applyBorder="1" applyAlignment="1">
      <alignment/>
    </xf>
    <xf numFmtId="166" fontId="1" fillId="0" borderId="51" xfId="0" applyNumberFormat="1" applyFont="1" applyBorder="1" applyAlignment="1">
      <alignment/>
    </xf>
    <xf numFmtId="166" fontId="28" fillId="0" borderId="56" xfId="0" applyNumberFormat="1" applyFont="1" applyBorder="1" applyAlignment="1">
      <alignment/>
    </xf>
    <xf numFmtId="166" fontId="28" fillId="0" borderId="4" xfId="0" applyNumberFormat="1" applyFont="1" applyBorder="1" applyAlignment="1">
      <alignment/>
    </xf>
    <xf numFmtId="166" fontId="28" fillId="72" borderId="51" xfId="0" applyNumberFormat="1" applyFont="1" applyFill="1" applyBorder="1" applyAlignment="1">
      <alignment/>
    </xf>
    <xf numFmtId="166" fontId="28" fillId="72" borderId="0" xfId="0" applyNumberFormat="1" applyFont="1" applyFill="1" applyBorder="1" applyAlignment="1">
      <alignment/>
    </xf>
    <xf numFmtId="166" fontId="28" fillId="72" borderId="52" xfId="0" applyNumberFormat="1" applyFont="1" applyFill="1" applyBorder="1" applyAlignment="1">
      <alignment/>
    </xf>
    <xf numFmtId="166" fontId="28" fillId="0" borderId="22" xfId="0" applyNumberFormat="1" applyFont="1" applyBorder="1" applyAlignment="1">
      <alignment/>
    </xf>
    <xf numFmtId="166" fontId="28" fillId="0" borderId="61" xfId="0" applyNumberFormat="1" applyFont="1" applyBorder="1" applyAlignment="1">
      <alignment/>
    </xf>
    <xf numFmtId="166" fontId="27" fillId="0" borderId="0" xfId="0" applyNumberFormat="1" applyFont="1" applyBorder="1" applyAlignment="1">
      <alignment/>
    </xf>
    <xf numFmtId="166" fontId="27" fillId="25" borderId="0" xfId="0" applyNumberFormat="1" applyFont="1" applyFill="1" applyBorder="1" applyAlignment="1">
      <alignment/>
    </xf>
    <xf numFmtId="166" fontId="0" fillId="14" borderId="0" xfId="0" applyNumberFormat="1" applyFont="1" applyFill="1" applyBorder="1" applyAlignment="1">
      <alignment/>
    </xf>
    <xf numFmtId="166" fontId="1" fillId="25" borderId="0" xfId="0" applyNumberFormat="1" applyFont="1" applyFill="1" applyBorder="1" applyAlignment="1">
      <alignment/>
    </xf>
    <xf numFmtId="166" fontId="28" fillId="0" borderId="0" xfId="0" applyNumberFormat="1" applyFont="1" applyBorder="1" applyAlignment="1">
      <alignment/>
    </xf>
    <xf numFmtId="7" fontId="27" fillId="25" borderId="0" xfId="0" applyNumberFormat="1" applyFont="1" applyFill="1" applyBorder="1" applyAlignment="1">
      <alignment/>
    </xf>
    <xf numFmtId="0" fontId="0" fillId="84" borderId="53" xfId="0" applyFill="1" applyBorder="1" applyAlignment="1">
      <alignment horizontal="center"/>
    </xf>
    <xf numFmtId="0" fontId="0" fillId="84" borderId="54" xfId="0" applyFill="1" applyBorder="1" applyAlignment="1">
      <alignment horizontal="center"/>
    </xf>
    <xf numFmtId="0" fontId="1" fillId="84" borderId="54" xfId="0" applyFont="1" applyFill="1" applyBorder="1" applyAlignment="1">
      <alignment horizontal="center"/>
    </xf>
    <xf numFmtId="0" fontId="1" fillId="84" borderId="55" xfId="0" applyFont="1" applyFill="1" applyBorder="1" applyAlignment="1">
      <alignment horizontal="center"/>
    </xf>
    <xf numFmtId="0" fontId="1" fillId="84" borderId="52" xfId="0" applyFont="1" applyFill="1" applyBorder="1" applyAlignment="1">
      <alignment horizontal="center"/>
    </xf>
    <xf numFmtId="166" fontId="28" fillId="0" borderId="0" xfId="0" applyNumberFormat="1" applyFont="1" applyFill="1" applyBorder="1" applyAlignment="1">
      <alignment/>
    </xf>
    <xf numFmtId="166" fontId="27" fillId="0" borderId="22" xfId="0" applyNumberFormat="1" applyFont="1" applyBorder="1" applyAlignment="1">
      <alignment/>
    </xf>
    <xf numFmtId="166" fontId="27" fillId="0" borderId="0" xfId="0" applyNumberFormat="1" applyFont="1" applyAlignment="1">
      <alignment/>
    </xf>
    <xf numFmtId="166" fontId="1" fillId="25" borderId="52" xfId="0" applyNumberFormat="1" applyFont="1" applyFill="1" applyBorder="1" applyAlignment="1">
      <alignment/>
    </xf>
    <xf numFmtId="166" fontId="0" fillId="0" borderId="0" xfId="0" applyNumberFormat="1" applyFont="1" applyFill="1" applyAlignment="1">
      <alignment/>
    </xf>
    <xf numFmtId="0" fontId="0" fillId="47" borderId="53" xfId="0" applyFill="1" applyBorder="1" applyAlignment="1">
      <alignment horizontal="center"/>
    </xf>
    <xf numFmtId="0" fontId="0" fillId="47" borderId="54" xfId="0" applyFill="1" applyBorder="1" applyAlignment="1">
      <alignment horizontal="center"/>
    </xf>
    <xf numFmtId="0" fontId="1" fillId="47" borderId="54" xfId="0" applyFont="1" applyFill="1" applyBorder="1" applyAlignment="1">
      <alignment horizontal="center"/>
    </xf>
    <xf numFmtId="0" fontId="1" fillId="47" borderId="55" xfId="0" applyFont="1" applyFill="1" applyBorder="1" applyAlignment="1">
      <alignment horizontal="center"/>
    </xf>
    <xf numFmtId="0" fontId="1" fillId="47" borderId="51" xfId="0" applyFont="1" applyFill="1" applyBorder="1" applyAlignment="1">
      <alignment horizontal="center"/>
    </xf>
    <xf numFmtId="0" fontId="1" fillId="47" borderId="0" xfId="0" applyFont="1" applyFill="1" applyBorder="1" applyAlignment="1">
      <alignment horizontal="center"/>
    </xf>
    <xf numFmtId="0" fontId="1" fillId="47" borderId="52" xfId="0" applyFont="1" applyFill="1" applyBorder="1" applyAlignment="1">
      <alignment horizontal="center"/>
    </xf>
    <xf numFmtId="166" fontId="1" fillId="9" borderId="57" xfId="0" applyNumberFormat="1" applyFont="1" applyFill="1" applyBorder="1" applyAlignment="1">
      <alignment/>
    </xf>
    <xf numFmtId="166" fontId="27" fillId="0" borderId="52" xfId="0" applyNumberFormat="1" applyFont="1" applyBorder="1" applyAlignment="1">
      <alignment/>
    </xf>
    <xf numFmtId="166" fontId="29" fillId="0" borderId="51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6" fontId="4" fillId="0" borderId="52" xfId="0" applyNumberFormat="1" applyFont="1" applyBorder="1" applyAlignment="1">
      <alignment/>
    </xf>
    <xf numFmtId="166" fontId="29" fillId="0" borderId="0" xfId="0" applyNumberFormat="1" applyFont="1" applyBorder="1" applyAlignment="1">
      <alignment/>
    </xf>
    <xf numFmtId="166" fontId="0" fillId="0" borderId="51" xfId="0" applyNumberFormat="1" applyBorder="1" applyAlignment="1">
      <alignment/>
    </xf>
    <xf numFmtId="166" fontId="0" fillId="0" borderId="52" xfId="0" applyNumberFormat="1" applyBorder="1" applyAlignment="1">
      <alignment/>
    </xf>
    <xf numFmtId="166" fontId="1" fillId="72" borderId="51" xfId="0" applyNumberFormat="1" applyFont="1" applyFill="1" applyBorder="1" applyAlignment="1">
      <alignment/>
    </xf>
    <xf numFmtId="166" fontId="1" fillId="72" borderId="52" xfId="0" applyNumberFormat="1" applyFont="1" applyFill="1" applyBorder="1" applyAlignment="1">
      <alignment/>
    </xf>
    <xf numFmtId="166" fontId="1" fillId="0" borderId="60" xfId="0" applyNumberFormat="1" applyFont="1" applyBorder="1" applyAlignment="1">
      <alignment/>
    </xf>
    <xf numFmtId="166" fontId="0" fillId="0" borderId="61" xfId="0" applyNumberFormat="1" applyBorder="1" applyAlignment="1">
      <alignment/>
    </xf>
    <xf numFmtId="165" fontId="27" fillId="25" borderId="52" xfId="0" applyNumberFormat="1" applyFont="1" applyFill="1" applyBorder="1" applyAlignment="1">
      <alignment/>
    </xf>
    <xf numFmtId="166" fontId="1" fillId="0" borderId="52" xfId="0" applyNumberFormat="1" applyFont="1" applyFill="1" applyBorder="1" applyAlignment="1">
      <alignment/>
    </xf>
    <xf numFmtId="7" fontId="0" fillId="0" borderId="0" xfId="0" applyNumberFormat="1" applyFont="1" applyBorder="1" applyAlignment="1">
      <alignment/>
    </xf>
    <xf numFmtId="7" fontId="0" fillId="25" borderId="0" xfId="0" applyNumberFormat="1" applyFont="1" applyFill="1" applyBorder="1" applyAlignment="1">
      <alignment/>
    </xf>
    <xf numFmtId="166" fontId="1" fillId="0" borderId="0" xfId="0" applyNumberFormat="1" applyFont="1" applyFill="1" applyBorder="1" applyAlignment="1">
      <alignment/>
    </xf>
    <xf numFmtId="0" fontId="0" fillId="43" borderId="53" xfId="0" applyFill="1" applyBorder="1" applyAlignment="1">
      <alignment horizontal="center"/>
    </xf>
    <xf numFmtId="0" fontId="0" fillId="43" borderId="54" xfId="0" applyFill="1" applyBorder="1" applyAlignment="1">
      <alignment horizontal="center"/>
    </xf>
    <xf numFmtId="0" fontId="1" fillId="43" borderId="54" xfId="0" applyFont="1" applyFill="1" applyBorder="1" applyAlignment="1">
      <alignment horizontal="center"/>
    </xf>
    <xf numFmtId="0" fontId="1" fillId="43" borderId="55" xfId="0" applyFont="1" applyFill="1" applyBorder="1" applyAlignment="1">
      <alignment horizontal="center"/>
    </xf>
    <xf numFmtId="0" fontId="1" fillId="43" borderId="51" xfId="0" applyFont="1" applyFill="1" applyBorder="1" applyAlignment="1">
      <alignment horizontal="center"/>
    </xf>
    <xf numFmtId="0" fontId="1" fillId="43" borderId="0" xfId="0" applyFont="1" applyFill="1" applyBorder="1" applyAlignment="1">
      <alignment horizontal="center"/>
    </xf>
    <xf numFmtId="0" fontId="1" fillId="43" borderId="52" xfId="0" applyFont="1" applyFill="1" applyBorder="1" applyAlignment="1">
      <alignment horizontal="center"/>
    </xf>
    <xf numFmtId="166" fontId="162" fillId="0" borderId="0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0" fillId="83" borderId="53" xfId="0" applyFill="1" applyBorder="1" applyAlignment="1">
      <alignment horizontal="center"/>
    </xf>
    <xf numFmtId="0" fontId="0" fillId="83" borderId="54" xfId="0" applyFill="1" applyBorder="1" applyAlignment="1">
      <alignment horizontal="center"/>
    </xf>
    <xf numFmtId="0" fontId="1" fillId="83" borderId="54" xfId="0" applyFont="1" applyFill="1" applyBorder="1" applyAlignment="1">
      <alignment horizontal="center"/>
    </xf>
    <xf numFmtId="0" fontId="1" fillId="83" borderId="55" xfId="0" applyFont="1" applyFill="1" applyBorder="1" applyAlignment="1">
      <alignment horizontal="center"/>
    </xf>
    <xf numFmtId="0" fontId="1" fillId="83" borderId="0" xfId="0" applyFont="1" applyFill="1" applyBorder="1" applyAlignment="1">
      <alignment horizontal="center"/>
    </xf>
    <xf numFmtId="165" fontId="27" fillId="25" borderId="51" xfId="0" applyNumberFormat="1" applyFont="1" applyFill="1" applyBorder="1" applyAlignment="1">
      <alignment/>
    </xf>
    <xf numFmtId="165" fontId="27" fillId="25" borderId="0" xfId="0" applyNumberFormat="1" applyFont="1" applyFill="1" applyBorder="1" applyAlignment="1">
      <alignment/>
    </xf>
    <xf numFmtId="165" fontId="28" fillId="25" borderId="52" xfId="0" applyNumberFormat="1" applyFont="1" applyFill="1" applyBorder="1" applyAlignment="1">
      <alignment/>
    </xf>
    <xf numFmtId="165" fontId="28" fillId="25" borderId="0" xfId="0" applyNumberFormat="1" applyFont="1" applyFill="1" applyBorder="1" applyAlignment="1">
      <alignment/>
    </xf>
    <xf numFmtId="166" fontId="27" fillId="25" borderId="51" xfId="0" applyNumberFormat="1" applyFont="1" applyFill="1" applyBorder="1" applyAlignment="1">
      <alignment/>
    </xf>
    <xf numFmtId="166" fontId="27" fillId="25" borderId="0" xfId="0" applyNumberFormat="1" applyFont="1" applyFill="1" applyBorder="1" applyAlignment="1">
      <alignment/>
    </xf>
    <xf numFmtId="0" fontId="165" fillId="0" borderId="0" xfId="0" applyFont="1" applyFill="1" applyBorder="1" applyAlignment="1">
      <alignment/>
    </xf>
    <xf numFmtId="165" fontId="166" fillId="0" borderId="0" xfId="0" applyNumberFormat="1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166" fontId="4" fillId="0" borderId="51" xfId="0" applyNumberFormat="1" applyFont="1" applyBorder="1" applyAlignment="1">
      <alignment/>
    </xf>
    <xf numFmtId="0" fontId="167" fillId="0" borderId="0" xfId="0" applyFont="1" applyBorder="1" applyAlignment="1">
      <alignment/>
    </xf>
    <xf numFmtId="0" fontId="168" fillId="0" borderId="0" xfId="0" applyFont="1" applyFill="1" applyBorder="1" applyAlignment="1">
      <alignment/>
    </xf>
    <xf numFmtId="0" fontId="169" fillId="0" borderId="0" xfId="0" applyFont="1" applyBorder="1" applyAlignment="1">
      <alignment/>
    </xf>
    <xf numFmtId="0" fontId="170" fillId="0" borderId="0" xfId="0" applyFont="1" applyAlignment="1">
      <alignment/>
    </xf>
    <xf numFmtId="0" fontId="169" fillId="0" borderId="0" xfId="0" applyFont="1" applyAlignment="1">
      <alignment/>
    </xf>
    <xf numFmtId="165" fontId="165" fillId="0" borderId="0" xfId="0" applyNumberFormat="1" applyFont="1" applyFill="1" applyBorder="1" applyAlignment="1">
      <alignment/>
    </xf>
    <xf numFmtId="166" fontId="26" fillId="0" borderId="0" xfId="0" applyNumberFormat="1" applyFont="1" applyBorder="1" applyAlignment="1">
      <alignment/>
    </xf>
    <xf numFmtId="0" fontId="0" fillId="41" borderId="53" xfId="0" applyFill="1" applyBorder="1" applyAlignment="1">
      <alignment horizontal="center"/>
    </xf>
    <xf numFmtId="0" fontId="0" fillId="41" borderId="54" xfId="0" applyFill="1" applyBorder="1" applyAlignment="1">
      <alignment horizontal="center"/>
    </xf>
    <xf numFmtId="0" fontId="1" fillId="41" borderId="54" xfId="0" applyFont="1" applyFill="1" applyBorder="1" applyAlignment="1">
      <alignment horizontal="center"/>
    </xf>
    <xf numFmtId="0" fontId="1" fillId="41" borderId="55" xfId="0" applyFont="1" applyFill="1" applyBorder="1" applyAlignment="1">
      <alignment horizontal="center"/>
    </xf>
    <xf numFmtId="0" fontId="1" fillId="41" borderId="51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1" fillId="41" borderId="52" xfId="0" applyFont="1" applyFill="1" applyBorder="1" applyAlignment="1">
      <alignment horizontal="center"/>
    </xf>
    <xf numFmtId="166" fontId="26" fillId="0" borderId="51" xfId="0" applyNumberFormat="1" applyFont="1" applyBorder="1" applyAlignment="1">
      <alignment/>
    </xf>
    <xf numFmtId="166" fontId="26" fillId="0" borderId="52" xfId="0" applyNumberFormat="1" applyFont="1" applyBorder="1" applyAlignment="1">
      <alignment/>
    </xf>
    <xf numFmtId="166" fontId="1" fillId="0" borderId="56" xfId="0" applyNumberFormat="1" applyFont="1" applyBorder="1" applyAlignment="1">
      <alignment/>
    </xf>
    <xf numFmtId="166" fontId="1" fillId="0" borderId="4" xfId="0" applyNumberFormat="1" applyFont="1" applyBorder="1" applyAlignment="1">
      <alignment/>
    </xf>
    <xf numFmtId="166" fontId="1" fillId="0" borderId="57" xfId="0" applyNumberFormat="1" applyFont="1" applyBorder="1" applyAlignment="1">
      <alignment/>
    </xf>
    <xf numFmtId="166" fontId="1" fillId="72" borderId="58" xfId="0" applyNumberFormat="1" applyFont="1" applyFill="1" applyBorder="1" applyAlignment="1">
      <alignment/>
    </xf>
    <xf numFmtId="166" fontId="1" fillId="72" borderId="8" xfId="0" applyNumberFormat="1" applyFont="1" applyFill="1" applyBorder="1" applyAlignment="1">
      <alignment/>
    </xf>
    <xf numFmtId="166" fontId="1" fillId="72" borderId="59" xfId="0" applyNumberFormat="1" applyFont="1" applyFill="1" applyBorder="1" applyAlignment="1">
      <alignment/>
    </xf>
    <xf numFmtId="166" fontId="28" fillId="72" borderId="56" xfId="0" applyNumberFormat="1" applyFont="1" applyFill="1" applyBorder="1" applyAlignment="1">
      <alignment/>
    </xf>
    <xf numFmtId="166" fontId="28" fillId="72" borderId="4" xfId="0" applyNumberFormat="1" applyFont="1" applyFill="1" applyBorder="1" applyAlignment="1">
      <alignment/>
    </xf>
    <xf numFmtId="166" fontId="28" fillId="72" borderId="57" xfId="0" applyNumberFormat="1" applyFont="1" applyFill="1" applyBorder="1" applyAlignment="1">
      <alignment/>
    </xf>
    <xf numFmtId="166" fontId="28" fillId="9" borderId="56" xfId="0" applyNumberFormat="1" applyFont="1" applyFill="1" applyBorder="1" applyAlignment="1">
      <alignment/>
    </xf>
    <xf numFmtId="166" fontId="28" fillId="9" borderId="4" xfId="0" applyNumberFormat="1" applyFont="1" applyFill="1" applyBorder="1" applyAlignment="1">
      <alignment/>
    </xf>
    <xf numFmtId="166" fontId="28" fillId="9" borderId="57" xfId="0" applyNumberFormat="1" applyFont="1" applyFill="1" applyBorder="1" applyAlignment="1">
      <alignment/>
    </xf>
    <xf numFmtId="7" fontId="0" fillId="0" borderId="51" xfId="0" applyNumberFormat="1" applyFont="1" applyBorder="1" applyAlignment="1">
      <alignment/>
    </xf>
    <xf numFmtId="166" fontId="169" fillId="0" borderId="0" xfId="0" applyNumberFormat="1" applyFont="1" applyBorder="1" applyAlignment="1">
      <alignment/>
    </xf>
    <xf numFmtId="166" fontId="170" fillId="0" borderId="0" xfId="0" applyNumberFormat="1" applyFont="1" applyAlignment="1">
      <alignment/>
    </xf>
    <xf numFmtId="166" fontId="170" fillId="0" borderId="0" xfId="0" applyNumberFormat="1" applyFont="1" applyBorder="1" applyAlignment="1">
      <alignment/>
    </xf>
    <xf numFmtId="166" fontId="169" fillId="0" borderId="0" xfId="0" applyNumberFormat="1" applyFont="1" applyAlignment="1">
      <alignment/>
    </xf>
  </cellXfs>
  <cellStyles count="2515">
    <cellStyle name="Normal" xfId="0"/>
    <cellStyle name=" " xfId="15"/>
    <cellStyle name=" _x0004_" xfId="16"/>
    <cellStyle name=" 1" xfId="17"/>
    <cellStyle name=" _x0004_A" xfId="18"/>
    <cellStyle name=" _x0004_A_x0002_" xfId="19"/>
    <cellStyle name="%" xfId="20"/>
    <cellStyle name="(0%) &quot; - &quot;" xfId="21"/>
    <cellStyle name="(0,000) &quot; - &quot;" xfId="22"/>
    <cellStyle name="__VERSIONS" xfId="23"/>
    <cellStyle name="_030150OT" xfId="24"/>
    <cellStyle name="_16238" xfId="25"/>
    <cellStyle name="_16238 Tax Computation Feb-09" xfId="26"/>
    <cellStyle name="_16238 Trader Bonus Accrual Jan 09" xfId="27"/>
    <cellStyle name="_17776_18800_MAR09" xfId="28"/>
    <cellStyle name="_1N (PNL MIG) to TB" xfId="29"/>
    <cellStyle name="_200807 LNG GFO Sprdsheetv1 - OLD FORMAT" xfId="30"/>
    <cellStyle name="_411005216" xfId="31"/>
    <cellStyle name="_6. Provisions" xfId="32"/>
    <cellStyle name="_7  Sales and purchases v2" xfId="33"/>
    <cellStyle name="_Accounts-GM Summary" xfId="34"/>
    <cellStyle name="_Actuals 16238" xfId="35"/>
    <cellStyle name="_All MI journals" xfId="36"/>
    <cellStyle name="_Amanda" xfId="37"/>
    <cellStyle name="_backup" xfId="38"/>
    <cellStyle name="_Book2" xfId="39"/>
    <cellStyle name="_Book3" xfId="40"/>
    <cellStyle name="_BP - EUC Change Log Template v3.2" xfId="41"/>
    <cellStyle name="_BP2 IOG Accruals (2)" xfId="42"/>
    <cellStyle name="_BP4 IOG Accruals" xfId="43"/>
    <cellStyle name="_Calculation" xfId="44"/>
    <cellStyle name="_Calendars" xfId="45"/>
    <cellStyle name="_Chain and PC PR1 to PRI" xfId="46"/>
    <cellStyle name="_Column1" xfId="47"/>
    <cellStyle name="_Column1_030150OT" xfId="48"/>
    <cellStyle name="_Column1_16238" xfId="49"/>
    <cellStyle name="_Column1_16238 BS -Accounts" xfId="50"/>
    <cellStyle name="_Column1_16238 Tax Computation Feb-09" xfId="51"/>
    <cellStyle name="_Column1_16238 Trader Bonus Accrual Jan 09" xfId="52"/>
    <cellStyle name="_Column1_17776 P&amp;L MAY-09" xfId="53"/>
    <cellStyle name="_Column1_17776_18800_MAR09" xfId="54"/>
    <cellStyle name="_Column1_401005012" xfId="55"/>
    <cellStyle name="_Column1_411005216" xfId="56"/>
    <cellStyle name="_Column1_AprGFO(source)" xfId="57"/>
    <cellStyle name="_Column1_BFA calendar" xfId="58"/>
    <cellStyle name="_Column1_BP Shipping 2Q07 GAIT File" xfId="59"/>
    <cellStyle name="_Column1_Calculation" xfId="60"/>
    <cellStyle name="_Column1_Credit Analysis Data" xfId="61"/>
    <cellStyle name="_Column1_Creditors" xfId="62"/>
    <cellStyle name="_Column1_Daily Discretionary Freight Trading PL template" xfId="63"/>
    <cellStyle name="_Column1_DEC-08 SUMMARY" xfId="64"/>
    <cellStyle name="_Column1_Dewa Maru" xfId="65"/>
    <cellStyle name="_Column1_Emerald" xfId="66"/>
    <cellStyle name="_Column1_Expo" xfId="67"/>
    <cellStyle name="_Column1_fbl3n data" xfId="68"/>
    <cellStyle name="_Column1_forecast split" xfId="69"/>
    <cellStyle name="_Column1_GAIT feed" xfId="70"/>
    <cellStyle name="_Column1_GM for GFO" xfId="71"/>
    <cellStyle name="_Column1_GS_Adjustments" xfId="72"/>
    <cellStyle name="_Column1_Iberia Knutsen" xfId="73"/>
    <cellStyle name="_Column1_IFRS PPM" xfId="74"/>
    <cellStyle name="_Column1_IMP report - Avg 3G penetration of customer base" xfId="75"/>
    <cellStyle name="_Column1_Innovator" xfId="76"/>
    <cellStyle name="_Column1_Journal upload" xfId="77"/>
    <cellStyle name="_Column1_JUL-08 CREDITORS" xfId="78"/>
    <cellStyle name="_Column1_JUL-08 DEBTORS" xfId="79"/>
    <cellStyle name="_Column1_Jun-09" xfId="80"/>
    <cellStyle name="_Column1_MAR-09 SUMMARY" xfId="81"/>
    <cellStyle name="_Column1_Merchant" xfId="82"/>
    <cellStyle name="_Column1_OCT-08 SUMMARY" xfId="83"/>
    <cellStyle name="_Column1_operating costs" xfId="84"/>
    <cellStyle name="_Column1_Output_Data" xfId="85"/>
    <cellStyle name="_Column1_P&amp;L 9 SEP07 SK STELLAR" xfId="86"/>
    <cellStyle name="_Column1_Pioneer" xfId="87"/>
    <cellStyle name="_Column1_Plan(source)" xfId="88"/>
    <cellStyle name="_Column1_PRI data" xfId="89"/>
    <cellStyle name="_Column1_Sheet1" xfId="90"/>
    <cellStyle name="_Column1_Sheet1_1" xfId="91"/>
    <cellStyle name="_Column1_Sheet1_111 TM080709-03 Q209 BS NETTING EUR" xfId="92"/>
    <cellStyle name="_Column1_Sheet1_112 TM080709-04 Q209 BS NETTING GBP" xfId="93"/>
    <cellStyle name="_Column1_Sheet1_113 TM080709-05  Q209 BS NETTING USD" xfId="94"/>
    <cellStyle name="_Column1_Sheet1_120 TT080709-14 TAX JUN 09 V2" xfId="95"/>
    <cellStyle name="_Column1_Sheet1_JAN-09 SUMMARY" xfId="96"/>
    <cellStyle name="_Column1_Sheet1_Sheet1" xfId="97"/>
    <cellStyle name="_Column1_Sheet12" xfId="98"/>
    <cellStyle name="_Column1_Shipping" xfId="99"/>
    <cellStyle name="_Column1_Shipping ledger" xfId="100"/>
    <cellStyle name="_Column1_STTC LIVE" xfId="101"/>
    <cellStyle name="_Column1_Summary" xfId="102"/>
    <cellStyle name="_Column1_SUMMARY_030150OT" xfId="103"/>
    <cellStyle name="_Column1_SUMMARY_111 TM080709-03 Q209 BS NETTING EUR" xfId="104"/>
    <cellStyle name="_Column1_SUMMARY_112 TM080709-04 Q209 BS NETTING GBP" xfId="105"/>
    <cellStyle name="_Column1_SUMMARY_113 TM080709-05  Q209 BS NETTING USD" xfId="106"/>
    <cellStyle name="_Column1_SUMMARY_120 TT080709-14 TAX JUN 09 V2" xfId="107"/>
    <cellStyle name="_Column1_SUMMARY_17776 P&amp;L MAY-09" xfId="108"/>
    <cellStyle name="_Column1_SUMMARY_Creditors" xfId="109"/>
    <cellStyle name="_Column1_SUMMARY_Journal upload" xfId="110"/>
    <cellStyle name="_Column1_Summary_Sheet1" xfId="111"/>
    <cellStyle name="_Column1_Summary_Sheet1_120 TT080709-14 TAX JUN 09 V2" xfId="112"/>
    <cellStyle name="_Column1_Summary_Sheet1_17776 P&amp;L MAY-09" xfId="113"/>
    <cellStyle name="_Column1_SUMMARY_Sheet1_EUC" xfId="114"/>
    <cellStyle name="_Column1_Summary_Sheet1_Sheet1" xfId="115"/>
    <cellStyle name="_Column1_Time Charter Vessels WD3 (2)" xfId="116"/>
    <cellStyle name="_Column1_TLNG (Adj Intra BU)" xfId="117"/>
    <cellStyle name="_Column1_TLNG (Adj Intra BU)GM Act" xfId="118"/>
    <cellStyle name="_Column1_Trader" xfId="119"/>
    <cellStyle name="_Column1_YTD GM Sign Off &amp; Forecast" xfId="120"/>
    <cellStyle name="_Column1_YTD GM Sign Off April v1" xfId="121"/>
    <cellStyle name="_Column2" xfId="122"/>
    <cellStyle name="_Column2_030150OT" xfId="123"/>
    <cellStyle name="_Column2_16238" xfId="124"/>
    <cellStyle name="_Column2_16238 BS -Accounts" xfId="125"/>
    <cellStyle name="_Column2_16238 Tax Computation Feb-09" xfId="126"/>
    <cellStyle name="_Column2_16238 Trader Bonus Accrual Jan 09" xfId="127"/>
    <cellStyle name="_Column2_17776 P&amp;L MAY-09" xfId="128"/>
    <cellStyle name="_Column2_17776_18800_MAR09" xfId="129"/>
    <cellStyle name="_Column2_401005012" xfId="130"/>
    <cellStyle name="_Column2_411005216" xfId="131"/>
    <cellStyle name="_Column2_AprGFO(source)" xfId="132"/>
    <cellStyle name="_Column2_BFA calendar" xfId="133"/>
    <cellStyle name="_Column2_BP Shipping 2Q07 GAIT File" xfId="134"/>
    <cellStyle name="_Column2_Calculation" xfId="135"/>
    <cellStyle name="_Column2_Credit Analysis Data" xfId="136"/>
    <cellStyle name="_Column2_Creditors" xfId="137"/>
    <cellStyle name="_Column2_Daily Discretionary Freight Trading PL template" xfId="138"/>
    <cellStyle name="_Column2_DEC-08 SUMMARY" xfId="139"/>
    <cellStyle name="_Column2_Dewa Maru" xfId="140"/>
    <cellStyle name="_Column2_Emerald" xfId="141"/>
    <cellStyle name="_Column2_Expo" xfId="142"/>
    <cellStyle name="_Column2_fbl3n data" xfId="143"/>
    <cellStyle name="_Column2_forecast split" xfId="144"/>
    <cellStyle name="_Column2_GAIT feed" xfId="145"/>
    <cellStyle name="_Column2_GM for GFO" xfId="146"/>
    <cellStyle name="_Column2_GS_Adjustments" xfId="147"/>
    <cellStyle name="_Column2_Iberia Knutsen" xfId="148"/>
    <cellStyle name="_Column2_IFRS PPM" xfId="149"/>
    <cellStyle name="_Column2_IMP report - Avg 3G penetration of customer base" xfId="150"/>
    <cellStyle name="_Column2_Innovator" xfId="151"/>
    <cellStyle name="_Column2_Journal upload" xfId="152"/>
    <cellStyle name="_Column2_JUL-08 CREDITORS" xfId="153"/>
    <cellStyle name="_Column2_JUL-08 DEBTORS" xfId="154"/>
    <cellStyle name="_Column2_Jun-09" xfId="155"/>
    <cellStyle name="_Column2_MAR-09 SUMMARY" xfId="156"/>
    <cellStyle name="_Column2_Merchant" xfId="157"/>
    <cellStyle name="_Column2_OCT-08 SUMMARY" xfId="158"/>
    <cellStyle name="_Column2_operating costs" xfId="159"/>
    <cellStyle name="_Column2_Output_Data" xfId="160"/>
    <cellStyle name="_Column2_P&amp;L 9 SEP07 SK STELLAR" xfId="161"/>
    <cellStyle name="_Column2_Pioneer" xfId="162"/>
    <cellStyle name="_Column2_Plan(source)" xfId="163"/>
    <cellStyle name="_Column2_PRI data" xfId="164"/>
    <cellStyle name="_Column2_Sheet1" xfId="165"/>
    <cellStyle name="_Column2_Sheet1_1" xfId="166"/>
    <cellStyle name="_Column2_Sheet1_111 TM080709-03 Q209 BS NETTING EUR" xfId="167"/>
    <cellStyle name="_Column2_Sheet1_112 TM080709-04 Q209 BS NETTING GBP" xfId="168"/>
    <cellStyle name="_Column2_Sheet1_113 TM080709-05  Q209 BS NETTING USD" xfId="169"/>
    <cellStyle name="_Column2_Sheet1_120 TT080709-14 TAX JUN 09 V2" xfId="170"/>
    <cellStyle name="_Column2_Sheet1_JAN-09 SUMMARY" xfId="171"/>
    <cellStyle name="_Column2_Sheet1_Sheet1" xfId="172"/>
    <cellStyle name="_Column2_Sheet12" xfId="173"/>
    <cellStyle name="_Column2_Shipping" xfId="174"/>
    <cellStyle name="_Column2_Shipping ledger" xfId="175"/>
    <cellStyle name="_Column2_STTC LIVE" xfId="176"/>
    <cellStyle name="_Column2_Summary" xfId="177"/>
    <cellStyle name="_Column2_SUMMARY_030150OT" xfId="178"/>
    <cellStyle name="_Column2_SUMMARY_111 TM080709-03 Q209 BS NETTING EUR" xfId="179"/>
    <cellStyle name="_Column2_SUMMARY_112 TM080709-04 Q209 BS NETTING GBP" xfId="180"/>
    <cellStyle name="_Column2_SUMMARY_113 TM080709-05  Q209 BS NETTING USD" xfId="181"/>
    <cellStyle name="_Column2_SUMMARY_120 TT080709-14 TAX JUN 09 V2" xfId="182"/>
    <cellStyle name="_Column2_SUMMARY_17776 P&amp;L MAY-09" xfId="183"/>
    <cellStyle name="_Column2_SUMMARY_Creditors" xfId="184"/>
    <cellStyle name="_Column2_SUMMARY_Journal upload" xfId="185"/>
    <cellStyle name="_Column2_Summary_Sheet1" xfId="186"/>
    <cellStyle name="_Column2_Summary_Sheet1_120 TT080709-14 TAX JUN 09 V2" xfId="187"/>
    <cellStyle name="_Column2_Summary_Sheet1_17776 P&amp;L MAY-09" xfId="188"/>
    <cellStyle name="_Column2_SUMMARY_Sheet1_EUC" xfId="189"/>
    <cellStyle name="_Column2_Summary_Sheet1_Sheet1" xfId="190"/>
    <cellStyle name="_Column2_Time Charter Vessels WD3 (2)" xfId="191"/>
    <cellStyle name="_Column2_TLNG (Adj Intra BU)" xfId="192"/>
    <cellStyle name="_Column2_TLNG (Adj Intra BU)GM Act" xfId="193"/>
    <cellStyle name="_Column2_Trader" xfId="194"/>
    <cellStyle name="_Column2_YTD GM Sign Off &amp; Forecast" xfId="195"/>
    <cellStyle name="_Column2_YTD GM Sign Off April v1" xfId="196"/>
    <cellStyle name="_Column3" xfId="197"/>
    <cellStyle name="_Column3_030150OT" xfId="198"/>
    <cellStyle name="_Column3_16238" xfId="199"/>
    <cellStyle name="_Column3_16238 BS -Accounts" xfId="200"/>
    <cellStyle name="_Column3_16238 Tax Computation Feb-09" xfId="201"/>
    <cellStyle name="_Column3_16238 Trader Bonus Accrual Jan 09" xfId="202"/>
    <cellStyle name="_Column3_17776 P&amp;L MAY-09" xfId="203"/>
    <cellStyle name="_Column3_17776_18800_MAR09" xfId="204"/>
    <cellStyle name="_Column3_401005012" xfId="205"/>
    <cellStyle name="_Column3_411005216" xfId="206"/>
    <cellStyle name="_Column3_AprGFO(source)" xfId="207"/>
    <cellStyle name="_Column3_BFA calendar" xfId="208"/>
    <cellStyle name="_Column3_BP Shipping 2Q07 GAIT File" xfId="209"/>
    <cellStyle name="_Column3_Calculation" xfId="210"/>
    <cellStyle name="_Column3_Credit Analysis Data" xfId="211"/>
    <cellStyle name="_Column3_Creditors" xfId="212"/>
    <cellStyle name="_Column3_Daily Discretionary Freight Trading PL template" xfId="213"/>
    <cellStyle name="_Column3_DEC-08 SUMMARY" xfId="214"/>
    <cellStyle name="_Column3_Dewa Maru" xfId="215"/>
    <cellStyle name="_Column3_Emerald" xfId="216"/>
    <cellStyle name="_Column3_Expo" xfId="217"/>
    <cellStyle name="_Column3_fbl3n data" xfId="218"/>
    <cellStyle name="_Column3_forecast split" xfId="219"/>
    <cellStyle name="_Column3_GAIT feed" xfId="220"/>
    <cellStyle name="_Column3_GM for GFO" xfId="221"/>
    <cellStyle name="_Column3_GS_Adjustments" xfId="222"/>
    <cellStyle name="_Column3_Iberia Knutsen" xfId="223"/>
    <cellStyle name="_Column3_IFRS PPM" xfId="224"/>
    <cellStyle name="_Column3_IMP report - Avg 3G penetration of customer base" xfId="225"/>
    <cellStyle name="_Column3_Innovator" xfId="226"/>
    <cellStyle name="_Column3_Journal upload" xfId="227"/>
    <cellStyle name="_Column3_JUL-08 CREDITORS" xfId="228"/>
    <cellStyle name="_Column3_JUL-08 DEBTORS" xfId="229"/>
    <cellStyle name="_Column3_Jun-09" xfId="230"/>
    <cellStyle name="_Column3_MAR-09 SUMMARY" xfId="231"/>
    <cellStyle name="_Column3_Merchant" xfId="232"/>
    <cellStyle name="_Column3_OCT-08 SUMMARY" xfId="233"/>
    <cellStyle name="_Column3_operating costs" xfId="234"/>
    <cellStyle name="_Column3_Output_Data" xfId="235"/>
    <cellStyle name="_Column3_P&amp;L 9 SEP07 SK STELLAR" xfId="236"/>
    <cellStyle name="_Column3_Pioneer" xfId="237"/>
    <cellStyle name="_Column3_Plan(source)" xfId="238"/>
    <cellStyle name="_Column3_PRI data" xfId="239"/>
    <cellStyle name="_Column3_Sheet1" xfId="240"/>
    <cellStyle name="_Column3_Sheet1_1" xfId="241"/>
    <cellStyle name="_Column3_Sheet1_111 TM080709-03 Q209 BS NETTING EUR" xfId="242"/>
    <cellStyle name="_Column3_Sheet1_112 TM080709-04 Q209 BS NETTING GBP" xfId="243"/>
    <cellStyle name="_Column3_Sheet1_113 TM080709-05  Q209 BS NETTING USD" xfId="244"/>
    <cellStyle name="_Column3_Sheet1_120 TT080709-14 TAX JUN 09 V2" xfId="245"/>
    <cellStyle name="_Column3_Sheet1_JAN-09 SUMMARY" xfId="246"/>
    <cellStyle name="_Column3_Sheet1_Sheet1" xfId="247"/>
    <cellStyle name="_Column3_Sheet12" xfId="248"/>
    <cellStyle name="_Column3_Shipping" xfId="249"/>
    <cellStyle name="_Column3_Shipping ledger" xfId="250"/>
    <cellStyle name="_Column3_STTC LIVE" xfId="251"/>
    <cellStyle name="_Column3_Summary" xfId="252"/>
    <cellStyle name="_Column3_SUMMARY_030150OT" xfId="253"/>
    <cellStyle name="_Column3_SUMMARY_111 TM080709-03 Q209 BS NETTING EUR" xfId="254"/>
    <cellStyle name="_Column3_SUMMARY_112 TM080709-04 Q209 BS NETTING GBP" xfId="255"/>
    <cellStyle name="_Column3_SUMMARY_113 TM080709-05  Q209 BS NETTING USD" xfId="256"/>
    <cellStyle name="_Column3_SUMMARY_120 TT080709-14 TAX JUN 09 V2" xfId="257"/>
    <cellStyle name="_Column3_SUMMARY_17776 P&amp;L MAY-09" xfId="258"/>
    <cellStyle name="_Column3_SUMMARY_Creditors" xfId="259"/>
    <cellStyle name="_Column3_SUMMARY_Journal upload" xfId="260"/>
    <cellStyle name="_Column3_Summary_Sheet1" xfId="261"/>
    <cellStyle name="_Column3_Summary_Sheet1_120 TT080709-14 TAX JUN 09 V2" xfId="262"/>
    <cellStyle name="_Column3_Summary_Sheet1_17776 P&amp;L MAY-09" xfId="263"/>
    <cellStyle name="_Column3_SUMMARY_Sheet1_EUC" xfId="264"/>
    <cellStyle name="_Column3_Summary_Sheet1_Sheet1" xfId="265"/>
    <cellStyle name="_Column3_Time Charter Vessels WD3 (2)" xfId="266"/>
    <cellStyle name="_Column3_TLNG (Adj Intra BU)" xfId="267"/>
    <cellStyle name="_Column3_TLNG (Adj Intra BU)GM Act" xfId="268"/>
    <cellStyle name="_Column3_Trader" xfId="269"/>
    <cellStyle name="_Column3_YTD GM Sign Off &amp; Forecast" xfId="270"/>
    <cellStyle name="_Column3_YTD GM Sign Off April v1" xfId="271"/>
    <cellStyle name="_Column4" xfId="272"/>
    <cellStyle name="_Column4_030150OT" xfId="273"/>
    <cellStyle name="_Column4_16238" xfId="274"/>
    <cellStyle name="_Column4_16238 BS -Accounts" xfId="275"/>
    <cellStyle name="_Column4_16238 Tax Computation Feb-09" xfId="276"/>
    <cellStyle name="_Column4_16238 Trader Bonus Accrual Jan 09" xfId="277"/>
    <cellStyle name="_Column4_17776 P&amp;L MAY-09" xfId="278"/>
    <cellStyle name="_Column4_17776_18800_MAR09" xfId="279"/>
    <cellStyle name="_Column4_401005012" xfId="280"/>
    <cellStyle name="_Column4_411005216" xfId="281"/>
    <cellStyle name="_Column4_BFA calendar" xfId="282"/>
    <cellStyle name="_Column4_BP Shipping 2Q07 GAIT File" xfId="283"/>
    <cellStyle name="_Column4_Calculation" xfId="284"/>
    <cellStyle name="_Column4_Credit Analysis Data" xfId="285"/>
    <cellStyle name="_Column4_Creditors" xfId="286"/>
    <cellStyle name="_Column4_Daily Discretionary Freight Trading PL template" xfId="287"/>
    <cellStyle name="_Column4_DEC-08 SUMMARY" xfId="288"/>
    <cellStyle name="_Column4_Dewa Maru" xfId="289"/>
    <cellStyle name="_Column4_Emerald" xfId="290"/>
    <cellStyle name="_Column4_Expo" xfId="291"/>
    <cellStyle name="_Column4_fbl3n data" xfId="292"/>
    <cellStyle name="_Column4_forecast split" xfId="293"/>
    <cellStyle name="_Column4_GAIT feed" xfId="294"/>
    <cellStyle name="_Column4_GM for GFO" xfId="295"/>
    <cellStyle name="_Column4_GS_Adjustments" xfId="296"/>
    <cellStyle name="_Column4_Iberia Knutsen" xfId="297"/>
    <cellStyle name="_Column4_IFRS PPM" xfId="298"/>
    <cellStyle name="_Column4_IMP report - Avg 3G penetration of customer base" xfId="299"/>
    <cellStyle name="_Column4_Innovator" xfId="300"/>
    <cellStyle name="_Column4_Journal upload" xfId="301"/>
    <cellStyle name="_Column4_JUL-08 CREDITORS" xfId="302"/>
    <cellStyle name="_Column4_JUL-08 DEBTORS" xfId="303"/>
    <cellStyle name="_Column4_Jun-09" xfId="304"/>
    <cellStyle name="_Column4_MAR-09 SUMMARY" xfId="305"/>
    <cellStyle name="_Column4_Merchant" xfId="306"/>
    <cellStyle name="_Column4_OCT-08 SUMMARY" xfId="307"/>
    <cellStyle name="_Column4_Output_Data" xfId="308"/>
    <cellStyle name="_Column4_P&amp;L 9 SEP07 SK STELLAR" xfId="309"/>
    <cellStyle name="_Column4_Pioneer" xfId="310"/>
    <cellStyle name="_Column4_PRI data" xfId="311"/>
    <cellStyle name="_Column4_Sheet1" xfId="312"/>
    <cellStyle name="_Column4_Sheet1_1" xfId="313"/>
    <cellStyle name="_Column4_Sheet1_111 TM080709-03 Q209 BS NETTING EUR" xfId="314"/>
    <cellStyle name="_Column4_Sheet1_112 TM080709-04 Q209 BS NETTING GBP" xfId="315"/>
    <cellStyle name="_Column4_Sheet1_113 TM080709-05  Q209 BS NETTING USD" xfId="316"/>
    <cellStyle name="_Column4_Sheet1_120 TT080709-14 TAX JUN 09 V2" xfId="317"/>
    <cellStyle name="_Column4_Sheet1_JAN-09 SUMMARY" xfId="318"/>
    <cellStyle name="_Column4_Sheet1_Sheet1" xfId="319"/>
    <cellStyle name="_Column4_Sheet12" xfId="320"/>
    <cellStyle name="_Column4_Shipping" xfId="321"/>
    <cellStyle name="_Column4_STTC LIVE" xfId="322"/>
    <cellStyle name="_Column4_Summary" xfId="323"/>
    <cellStyle name="_Column4_SUMMARY_030150OT" xfId="324"/>
    <cellStyle name="_Column4_SUMMARY_111 TM080709-03 Q209 BS NETTING EUR" xfId="325"/>
    <cellStyle name="_Column4_SUMMARY_112 TM080709-04 Q209 BS NETTING GBP" xfId="326"/>
    <cellStyle name="_Column4_SUMMARY_113 TM080709-05  Q209 BS NETTING USD" xfId="327"/>
    <cellStyle name="_Column4_SUMMARY_120 TT080709-14 TAX JUN 09 V2" xfId="328"/>
    <cellStyle name="_Column4_SUMMARY_17776 P&amp;L MAY-09" xfId="329"/>
    <cellStyle name="_Column4_SUMMARY_Creditors" xfId="330"/>
    <cellStyle name="_Column4_SUMMARY_Journal upload" xfId="331"/>
    <cellStyle name="_Column4_Summary_Sheet1" xfId="332"/>
    <cellStyle name="_Column4_Summary_Sheet1_120 TT080709-14 TAX JUN 09 V2" xfId="333"/>
    <cellStyle name="_Column4_Summary_Sheet1_17776 P&amp;L MAY-09" xfId="334"/>
    <cellStyle name="_Column4_SUMMARY_Sheet1_EUC" xfId="335"/>
    <cellStyle name="_Column4_Summary_Sheet1_Sheet1" xfId="336"/>
    <cellStyle name="_Column4_Time Charter Vessels WD3 (2)" xfId="337"/>
    <cellStyle name="_Column4_TLNG (Adj Intra BU)" xfId="338"/>
    <cellStyle name="_Column4_TLNG (Adj Intra BU)GM Act" xfId="339"/>
    <cellStyle name="_Column4_Trader" xfId="340"/>
    <cellStyle name="_Column4_YTD GM Sign Off &amp; Forecast" xfId="341"/>
    <cellStyle name="_Column4_YTD GM Sign Off April v1" xfId="342"/>
    <cellStyle name="_Column5" xfId="343"/>
    <cellStyle name="_Column5_030150OT" xfId="344"/>
    <cellStyle name="_Column5_16238" xfId="345"/>
    <cellStyle name="_Column5_16238 BS -Accounts" xfId="346"/>
    <cellStyle name="_Column5_16238 Tax Computation Feb-09" xfId="347"/>
    <cellStyle name="_Column5_16238 Trader Bonus Accrual Jan 09" xfId="348"/>
    <cellStyle name="_Column5_17776 P&amp;L MAY-09" xfId="349"/>
    <cellStyle name="_Column5_17776_18800_MAR09" xfId="350"/>
    <cellStyle name="_Column5_401005012" xfId="351"/>
    <cellStyle name="_Column5_411005216" xfId="352"/>
    <cellStyle name="_Column5_BFA calendar" xfId="353"/>
    <cellStyle name="_Column5_BP Shipping 2Q07 GAIT File" xfId="354"/>
    <cellStyle name="_Column5_Calculation" xfId="355"/>
    <cellStyle name="_Column5_Credit Analysis Data" xfId="356"/>
    <cellStyle name="_Column5_Creditors" xfId="357"/>
    <cellStyle name="_Column5_Daily Discretionary Freight Trading PL template" xfId="358"/>
    <cellStyle name="_Column5_DEC-08 SUMMARY" xfId="359"/>
    <cellStyle name="_Column5_Dewa Maru" xfId="360"/>
    <cellStyle name="_Column5_Emerald" xfId="361"/>
    <cellStyle name="_Column5_Expo" xfId="362"/>
    <cellStyle name="_Column5_fbl3n data" xfId="363"/>
    <cellStyle name="_Column5_forecast split" xfId="364"/>
    <cellStyle name="_Column5_GAIT feed" xfId="365"/>
    <cellStyle name="_Column5_GM for GFO" xfId="366"/>
    <cellStyle name="_Column5_GS_Adjustments" xfId="367"/>
    <cellStyle name="_Column5_Iberia Knutsen" xfId="368"/>
    <cellStyle name="_Column5_IFRS PPM" xfId="369"/>
    <cellStyle name="_Column5_IMP report - Avg 3G penetration of customer base" xfId="370"/>
    <cellStyle name="_Column5_Innovator" xfId="371"/>
    <cellStyle name="_Column5_Journal upload" xfId="372"/>
    <cellStyle name="_Column5_JUL-08 CREDITORS" xfId="373"/>
    <cellStyle name="_Column5_JUL-08 DEBTORS" xfId="374"/>
    <cellStyle name="_Column5_Jun-09" xfId="375"/>
    <cellStyle name="_Column5_MAR-09 SUMMARY" xfId="376"/>
    <cellStyle name="_Column5_Merchant" xfId="377"/>
    <cellStyle name="_Column5_OCT-08 SUMMARY" xfId="378"/>
    <cellStyle name="_Column5_Output_Data" xfId="379"/>
    <cellStyle name="_Column5_P&amp;L 9 SEP07 SK STELLAR" xfId="380"/>
    <cellStyle name="_Column5_Pioneer" xfId="381"/>
    <cellStyle name="_Column5_PRI data" xfId="382"/>
    <cellStyle name="_Column5_Sheet1" xfId="383"/>
    <cellStyle name="_Column5_Sheet1_1" xfId="384"/>
    <cellStyle name="_Column5_Sheet1_111 TM080709-03 Q209 BS NETTING EUR" xfId="385"/>
    <cellStyle name="_Column5_Sheet1_112 TM080709-04 Q209 BS NETTING GBP" xfId="386"/>
    <cellStyle name="_Column5_Sheet1_113 TM080709-05  Q209 BS NETTING USD" xfId="387"/>
    <cellStyle name="_Column5_Sheet1_120 TT080709-14 TAX JUN 09 V2" xfId="388"/>
    <cellStyle name="_Column5_Sheet1_JAN-09 SUMMARY" xfId="389"/>
    <cellStyle name="_Column5_Sheet1_Sheet1" xfId="390"/>
    <cellStyle name="_Column5_Sheet12" xfId="391"/>
    <cellStyle name="_Column5_Shipping" xfId="392"/>
    <cellStyle name="_Column5_STTC LIVE" xfId="393"/>
    <cellStyle name="_Column5_Summary" xfId="394"/>
    <cellStyle name="_Column5_SUMMARY_030150OT" xfId="395"/>
    <cellStyle name="_Column5_SUMMARY_111 TM080709-03 Q209 BS NETTING EUR" xfId="396"/>
    <cellStyle name="_Column5_SUMMARY_112 TM080709-04 Q209 BS NETTING GBP" xfId="397"/>
    <cellStyle name="_Column5_SUMMARY_113 TM080709-05  Q209 BS NETTING USD" xfId="398"/>
    <cellStyle name="_Column5_SUMMARY_120 TT080709-14 TAX JUN 09 V2" xfId="399"/>
    <cellStyle name="_Column5_SUMMARY_17776 P&amp;L MAY-09" xfId="400"/>
    <cellStyle name="_Column5_SUMMARY_Creditors" xfId="401"/>
    <cellStyle name="_Column5_SUMMARY_Journal upload" xfId="402"/>
    <cellStyle name="_Column5_Summary_Sheet1" xfId="403"/>
    <cellStyle name="_Column5_Summary_Sheet1_120 TT080709-14 TAX JUN 09 V2" xfId="404"/>
    <cellStyle name="_Column5_Summary_Sheet1_17776 P&amp;L MAY-09" xfId="405"/>
    <cellStyle name="_Column5_SUMMARY_Sheet1_EUC" xfId="406"/>
    <cellStyle name="_Column5_Summary_Sheet1_Sheet1" xfId="407"/>
    <cellStyle name="_Column5_Time Charter Vessels WD3 (2)" xfId="408"/>
    <cellStyle name="_Column5_TLNG (Adj Intra BU)" xfId="409"/>
    <cellStyle name="_Column5_TLNG (Adj Intra BU)GM Act" xfId="410"/>
    <cellStyle name="_Column5_Trader" xfId="411"/>
    <cellStyle name="_Column5_YTD GM Sign Off &amp; Forecast" xfId="412"/>
    <cellStyle name="_Column5_YTD GM Sign Off April v1" xfId="413"/>
    <cellStyle name="_Column6" xfId="414"/>
    <cellStyle name="_Column6_030150OT" xfId="415"/>
    <cellStyle name="_Column6_16238" xfId="416"/>
    <cellStyle name="_Column6_16238 BS -Accounts" xfId="417"/>
    <cellStyle name="_Column6_16238 Tax Computation Feb-09" xfId="418"/>
    <cellStyle name="_Column6_16238 Trader Bonus Accrual Jan 09" xfId="419"/>
    <cellStyle name="_Column6_17776 P&amp;L MAY-09" xfId="420"/>
    <cellStyle name="_Column6_17776_18800_MAR09" xfId="421"/>
    <cellStyle name="_Column6_401005012" xfId="422"/>
    <cellStyle name="_Column6_411005216" xfId="423"/>
    <cellStyle name="_Column6_BFA calendar" xfId="424"/>
    <cellStyle name="_Column6_BP Shipping 2Q07 GAIT File" xfId="425"/>
    <cellStyle name="_Column6_Calculation" xfId="426"/>
    <cellStyle name="_Column6_Credit Analysis Data" xfId="427"/>
    <cellStyle name="_Column6_Creditors" xfId="428"/>
    <cellStyle name="_Column6_Daily Discretionary Freight Trading PL template" xfId="429"/>
    <cellStyle name="_Column6_DEC-08 SUMMARY" xfId="430"/>
    <cellStyle name="_Column6_Dewa Maru" xfId="431"/>
    <cellStyle name="_Column6_Emerald" xfId="432"/>
    <cellStyle name="_Column6_Expo" xfId="433"/>
    <cellStyle name="_Column6_fbl3n data" xfId="434"/>
    <cellStyle name="_Column6_forecast split" xfId="435"/>
    <cellStyle name="_Column6_GAIT feed" xfId="436"/>
    <cellStyle name="_Column6_GM for GFO" xfId="437"/>
    <cellStyle name="_Column6_GS_Adjustments" xfId="438"/>
    <cellStyle name="_Column6_Iberia Knutsen" xfId="439"/>
    <cellStyle name="_Column6_IFRS PPM" xfId="440"/>
    <cellStyle name="_Column6_IMP report - Avg 3G penetration of customer base" xfId="441"/>
    <cellStyle name="_Column6_Innovator" xfId="442"/>
    <cellStyle name="_Column6_Journal upload" xfId="443"/>
    <cellStyle name="_Column6_JUL-08 CREDITORS" xfId="444"/>
    <cellStyle name="_Column6_JUL-08 DEBTORS" xfId="445"/>
    <cellStyle name="_Column6_Jun-09" xfId="446"/>
    <cellStyle name="_Column6_MAR-09 SUMMARY" xfId="447"/>
    <cellStyle name="_Column6_Merchant" xfId="448"/>
    <cellStyle name="_Column6_OCT-08 SUMMARY" xfId="449"/>
    <cellStyle name="_Column6_Output_Data" xfId="450"/>
    <cellStyle name="_Column6_P&amp;L 9 SEP07 SK STELLAR" xfId="451"/>
    <cellStyle name="_Column6_Pioneer" xfId="452"/>
    <cellStyle name="_Column6_PRI data" xfId="453"/>
    <cellStyle name="_Column6_Sheet1" xfId="454"/>
    <cellStyle name="_Column6_Sheet1_1" xfId="455"/>
    <cellStyle name="_Column6_Sheet1_111 TM080709-03 Q209 BS NETTING EUR" xfId="456"/>
    <cellStyle name="_Column6_Sheet1_112 TM080709-04 Q209 BS NETTING GBP" xfId="457"/>
    <cellStyle name="_Column6_Sheet1_113 TM080709-05  Q209 BS NETTING USD" xfId="458"/>
    <cellStyle name="_Column6_Sheet1_120 TT080709-14 TAX JUN 09 V2" xfId="459"/>
    <cellStyle name="_Column6_Sheet1_JAN-09 SUMMARY" xfId="460"/>
    <cellStyle name="_Column6_Sheet1_Sheet1" xfId="461"/>
    <cellStyle name="_Column6_Sheet12" xfId="462"/>
    <cellStyle name="_Column6_Shipping" xfId="463"/>
    <cellStyle name="_Column6_STTC LIVE" xfId="464"/>
    <cellStyle name="_Column6_Summary" xfId="465"/>
    <cellStyle name="_Column6_SUMMARY_030150OT" xfId="466"/>
    <cellStyle name="_Column6_SUMMARY_111 TM080709-03 Q209 BS NETTING EUR" xfId="467"/>
    <cellStyle name="_Column6_SUMMARY_112 TM080709-04 Q209 BS NETTING GBP" xfId="468"/>
    <cellStyle name="_Column6_SUMMARY_113 TM080709-05  Q209 BS NETTING USD" xfId="469"/>
    <cellStyle name="_Column6_SUMMARY_120 TT080709-14 TAX JUN 09 V2" xfId="470"/>
    <cellStyle name="_Column6_SUMMARY_17776 P&amp;L MAY-09" xfId="471"/>
    <cellStyle name="_Column6_SUMMARY_Creditors" xfId="472"/>
    <cellStyle name="_Column6_SUMMARY_Journal upload" xfId="473"/>
    <cellStyle name="_Column6_Summary_Sheet1" xfId="474"/>
    <cellStyle name="_Column6_Summary_Sheet1_120 TT080709-14 TAX JUN 09 V2" xfId="475"/>
    <cellStyle name="_Column6_Summary_Sheet1_17776 P&amp;L MAY-09" xfId="476"/>
    <cellStyle name="_Column6_SUMMARY_Sheet1_EUC" xfId="477"/>
    <cellStyle name="_Column6_Summary_Sheet1_Sheet1" xfId="478"/>
    <cellStyle name="_Column6_Time Charter Vessels WD3 (2)" xfId="479"/>
    <cellStyle name="_Column6_TLNG (Adj Intra BU)" xfId="480"/>
    <cellStyle name="_Column6_TLNG (Adj Intra BU)GM Act" xfId="481"/>
    <cellStyle name="_Column6_Trader" xfId="482"/>
    <cellStyle name="_Column6_YTD GM Sign Off &amp; Forecast" xfId="483"/>
    <cellStyle name="_Column6_YTD GM Sign Off April v1" xfId="484"/>
    <cellStyle name="_Column7" xfId="485"/>
    <cellStyle name="_Column7_030150OT" xfId="486"/>
    <cellStyle name="_Column7_16238" xfId="487"/>
    <cellStyle name="_Column7_16238 BS -Accounts" xfId="488"/>
    <cellStyle name="_Column7_16238 Tax Computation Feb-09" xfId="489"/>
    <cellStyle name="_Column7_16238 Trader Bonus Accrual Jan 09" xfId="490"/>
    <cellStyle name="_Column7_17776 P&amp;L MAY-09" xfId="491"/>
    <cellStyle name="_Column7_17776_18800_MAR09" xfId="492"/>
    <cellStyle name="_Column7_401005012" xfId="493"/>
    <cellStyle name="_Column7_411005216" xfId="494"/>
    <cellStyle name="_Column7_BFA calendar" xfId="495"/>
    <cellStyle name="_Column7_BP Shipping 2Q07 GAIT File" xfId="496"/>
    <cellStyle name="_Column7_Calculation" xfId="497"/>
    <cellStyle name="_Column7_Credit Analysis Data" xfId="498"/>
    <cellStyle name="_Column7_Creditors" xfId="499"/>
    <cellStyle name="_Column7_Daily Discretionary Freight Trading PL template" xfId="500"/>
    <cellStyle name="_Column7_DEC-08 SUMMARY" xfId="501"/>
    <cellStyle name="_Column7_Dewa Maru" xfId="502"/>
    <cellStyle name="_Column7_Emerald" xfId="503"/>
    <cellStyle name="_Column7_Expo" xfId="504"/>
    <cellStyle name="_Column7_fbl3n data" xfId="505"/>
    <cellStyle name="_Column7_forecast split" xfId="506"/>
    <cellStyle name="_Column7_GAIT feed" xfId="507"/>
    <cellStyle name="_Column7_GM for GFO" xfId="508"/>
    <cellStyle name="_Column7_GS_Adjustments" xfId="509"/>
    <cellStyle name="_Column7_Iberia Knutsen" xfId="510"/>
    <cellStyle name="_Column7_IFRS PPM" xfId="511"/>
    <cellStyle name="_Column7_IMP report - Avg 3G penetration of customer base" xfId="512"/>
    <cellStyle name="_Column7_Innovator" xfId="513"/>
    <cellStyle name="_Column7_Journal upload" xfId="514"/>
    <cellStyle name="_Column7_JUL-08 CREDITORS" xfId="515"/>
    <cellStyle name="_Column7_JUL-08 DEBTORS" xfId="516"/>
    <cellStyle name="_Column7_Jun-09" xfId="517"/>
    <cellStyle name="_Column7_MAR-09 SUMMARY" xfId="518"/>
    <cellStyle name="_Column7_Merchant" xfId="519"/>
    <cellStyle name="_Column7_OCT-08 SUMMARY" xfId="520"/>
    <cellStyle name="_Column7_Output_Data" xfId="521"/>
    <cellStyle name="_Column7_P&amp;L 9 SEP07 SK STELLAR" xfId="522"/>
    <cellStyle name="_Column7_Pioneer" xfId="523"/>
    <cellStyle name="_Column7_PRI data" xfId="524"/>
    <cellStyle name="_Column7_Sheet1" xfId="525"/>
    <cellStyle name="_Column7_Sheet1_1" xfId="526"/>
    <cellStyle name="_Column7_Sheet1_111 TM080709-03 Q209 BS NETTING EUR" xfId="527"/>
    <cellStyle name="_Column7_Sheet1_112 TM080709-04 Q209 BS NETTING GBP" xfId="528"/>
    <cellStyle name="_Column7_Sheet1_113 TM080709-05  Q209 BS NETTING USD" xfId="529"/>
    <cellStyle name="_Column7_Sheet1_120 TT080709-14 TAX JUN 09 V2" xfId="530"/>
    <cellStyle name="_Column7_Sheet1_JAN-09 SUMMARY" xfId="531"/>
    <cellStyle name="_Column7_Sheet1_Sheet1" xfId="532"/>
    <cellStyle name="_Column7_Sheet12" xfId="533"/>
    <cellStyle name="_Column7_Shipping" xfId="534"/>
    <cellStyle name="_Column7_STTC LIVE" xfId="535"/>
    <cellStyle name="_Column7_Summary" xfId="536"/>
    <cellStyle name="_Column7_SUMMARY_030150OT" xfId="537"/>
    <cellStyle name="_Column7_SUMMARY_111 TM080709-03 Q209 BS NETTING EUR" xfId="538"/>
    <cellStyle name="_Column7_SUMMARY_112 TM080709-04 Q209 BS NETTING GBP" xfId="539"/>
    <cellStyle name="_Column7_SUMMARY_113 TM080709-05  Q209 BS NETTING USD" xfId="540"/>
    <cellStyle name="_Column7_SUMMARY_120 TT080709-14 TAX JUN 09 V2" xfId="541"/>
    <cellStyle name="_Column7_SUMMARY_17776 P&amp;L MAY-09" xfId="542"/>
    <cellStyle name="_Column7_SUMMARY_Creditors" xfId="543"/>
    <cellStyle name="_Column7_SUMMARY_Journal upload" xfId="544"/>
    <cellStyle name="_Column7_Summary_Sheet1" xfId="545"/>
    <cellStyle name="_Column7_Summary_Sheet1_120 TT080709-14 TAX JUN 09 V2" xfId="546"/>
    <cellStyle name="_Column7_Summary_Sheet1_17776 P&amp;L MAY-09" xfId="547"/>
    <cellStyle name="_Column7_SUMMARY_Sheet1_EUC" xfId="548"/>
    <cellStyle name="_Column7_Summary_Sheet1_Sheet1" xfId="549"/>
    <cellStyle name="_Column7_Time Charter Vessels WD3 (2)" xfId="550"/>
    <cellStyle name="_Column7_TLNG (Adj Intra BU)" xfId="551"/>
    <cellStyle name="_Column7_TLNG (Adj Intra BU)GM Act" xfId="552"/>
    <cellStyle name="_Column7_Trader" xfId="553"/>
    <cellStyle name="_Column7_YTD GM Sign Off &amp; Forecast" xfId="554"/>
    <cellStyle name="_Column7_YTD GM Sign Off April v1" xfId="555"/>
    <cellStyle name="_Column8" xfId="556"/>
    <cellStyle name="_Creditors" xfId="557"/>
    <cellStyle name="_CurveLoader" xfId="558"/>
    <cellStyle name="_Data" xfId="559"/>
    <cellStyle name="_Data_030150OT" xfId="560"/>
    <cellStyle name="_Data_16238" xfId="561"/>
    <cellStyle name="_Data_16238 BS -Accounts" xfId="562"/>
    <cellStyle name="_Data_16238 Tax Computation Feb-09" xfId="563"/>
    <cellStyle name="_Data_16238 Trader Bonus Accrual Jan 09" xfId="564"/>
    <cellStyle name="_Data_17776 P&amp;L MAY-09" xfId="565"/>
    <cellStyle name="_Data_17776_18800_MAR09" xfId="566"/>
    <cellStyle name="_Data_401005012" xfId="567"/>
    <cellStyle name="_Data_411005216" xfId="568"/>
    <cellStyle name="_Data_AprGFO(source)" xfId="569"/>
    <cellStyle name="_Data_BFA calendar" xfId="570"/>
    <cellStyle name="_Data_BP Shipping 2Q07 GAIT File" xfId="571"/>
    <cellStyle name="_Data_Calculation" xfId="572"/>
    <cellStyle name="_Data_Credit Analysis Data" xfId="573"/>
    <cellStyle name="_Data_Creditors" xfId="574"/>
    <cellStyle name="_Data_Daily Discretionary Freight Trading PL template" xfId="575"/>
    <cellStyle name="_Data_DEC-08 SUMMARY" xfId="576"/>
    <cellStyle name="_Data_Dewa Maru" xfId="577"/>
    <cellStyle name="_Data_Emerald" xfId="578"/>
    <cellStyle name="_Data_Expo" xfId="579"/>
    <cellStyle name="_Data_fbl3n data" xfId="580"/>
    <cellStyle name="_Data_forecast split" xfId="581"/>
    <cellStyle name="_Data_GAIT feed" xfId="582"/>
    <cellStyle name="_Data_GM for GFO" xfId="583"/>
    <cellStyle name="_Data_GS_Adjustments" xfId="584"/>
    <cellStyle name="_Data_I-B Overview by countries" xfId="585"/>
    <cellStyle name="_Data_Iberia Knutsen" xfId="586"/>
    <cellStyle name="_Data_IFRS PPM" xfId="587"/>
    <cellStyle name="_Data_Innovator" xfId="588"/>
    <cellStyle name="_Data_Journal upload" xfId="589"/>
    <cellStyle name="_Data_JUL-08 CREDITORS" xfId="590"/>
    <cellStyle name="_Data_JUL-08 DEBTORS" xfId="591"/>
    <cellStyle name="_Data_Jun-09" xfId="592"/>
    <cellStyle name="_Data_MAR-09 SUMMARY" xfId="593"/>
    <cellStyle name="_Data_Merchant" xfId="594"/>
    <cellStyle name="_Data_OCT-08 SUMMARY" xfId="595"/>
    <cellStyle name="_Data_operating costs" xfId="596"/>
    <cellStyle name="_Data_Output_Data" xfId="597"/>
    <cellStyle name="_Data_P&amp;L 9 SEP07 SK STELLAR" xfId="598"/>
    <cellStyle name="_Data_Pioneer" xfId="599"/>
    <cellStyle name="_Data_Plan(source)" xfId="600"/>
    <cellStyle name="_Data_PRI data" xfId="601"/>
    <cellStyle name="_Data_Sheet1" xfId="602"/>
    <cellStyle name="_Data_Sheet1_1" xfId="603"/>
    <cellStyle name="_Data_Sheet1_111 TM080709-03 Q209 BS NETTING EUR" xfId="604"/>
    <cellStyle name="_Data_Sheet1_112 TM080709-04 Q209 BS NETTING GBP" xfId="605"/>
    <cellStyle name="_Data_Sheet1_113 TM080709-05  Q209 BS NETTING USD" xfId="606"/>
    <cellStyle name="_Data_Sheet1_120 TT080709-14 TAX JUN 09 V2" xfId="607"/>
    <cellStyle name="_Data_Sheet1_JAN-09 SUMMARY" xfId="608"/>
    <cellStyle name="_Data_Sheet1_Sheet1" xfId="609"/>
    <cellStyle name="_Data_Sheet12" xfId="610"/>
    <cellStyle name="_Data_Shipping" xfId="611"/>
    <cellStyle name="_Data_Shipping ledger" xfId="612"/>
    <cellStyle name="_Data_STTC LIVE" xfId="613"/>
    <cellStyle name="_Data_Summary" xfId="614"/>
    <cellStyle name="_Data_SUMMARY_030150OT" xfId="615"/>
    <cellStyle name="_Data_SUMMARY_111 TM080709-03 Q209 BS NETTING EUR" xfId="616"/>
    <cellStyle name="_Data_SUMMARY_112 TM080709-04 Q209 BS NETTING GBP" xfId="617"/>
    <cellStyle name="_Data_SUMMARY_113 TM080709-05  Q209 BS NETTING USD" xfId="618"/>
    <cellStyle name="_Data_SUMMARY_120 TT080709-14 TAX JUN 09 V2" xfId="619"/>
    <cellStyle name="_Data_SUMMARY_17776 P&amp;L MAY-09" xfId="620"/>
    <cellStyle name="_Data_SUMMARY_Creditors" xfId="621"/>
    <cellStyle name="_Data_SUMMARY_Journal upload" xfId="622"/>
    <cellStyle name="_Data_Summary_Sheet1" xfId="623"/>
    <cellStyle name="_Data_Summary_Sheet1_120 TT080709-14 TAX JUN 09 V2" xfId="624"/>
    <cellStyle name="_Data_Summary_Sheet1_17776 P&amp;L MAY-09" xfId="625"/>
    <cellStyle name="_Data_SUMMARY_Sheet1_EUC" xfId="626"/>
    <cellStyle name="_Data_Summary_Sheet1_Sheet1" xfId="627"/>
    <cellStyle name="_Data_Time Charter Vessels WD3 (2)" xfId="628"/>
    <cellStyle name="_Data_TLNG (Adj Intra BU)" xfId="629"/>
    <cellStyle name="_Data_TLNG (Adj Intra BU)GM Act" xfId="630"/>
    <cellStyle name="_Data_Trader" xfId="631"/>
    <cellStyle name="_Data_YTD GM Sign Off &amp; Forecast" xfId="632"/>
    <cellStyle name="_Data_YTD GM Sign Off April v1" xfId="633"/>
    <cellStyle name="_DataParameters" xfId="634"/>
    <cellStyle name="_ddmmyy Flat Rate Estimator REMEDIATED v4" xfId="635"/>
    <cellStyle name="_Debtors" xfId="636"/>
    <cellStyle name="_emia185q" xfId="637"/>
    <cellStyle name="_emia240q" xfId="638"/>
    <cellStyle name="_EthanolCurve_2007_05_08" xfId="639"/>
    <cellStyle name="_EUC" xfId="640"/>
    <cellStyle name="_EUC end user controls" xfId="641"/>
    <cellStyle name="_EUC Review Log" xfId="642"/>
    <cellStyle name="_EUC_1" xfId="643"/>
    <cellStyle name="_Exchange rates" xfId="644"/>
    <cellStyle name="_FC TB (2)" xfId="645"/>
    <cellStyle name="_Feb 09" xfId="646"/>
    <cellStyle name="_FOBUS PUSH" xfId="647"/>
    <cellStyle name="_For Amanda" xfId="648"/>
    <cellStyle name="_FreightTradingCurves_DEV" xfId="649"/>
    <cellStyle name="_FRONT END" xfId="650"/>
    <cellStyle name="_Full Year Costs summary as at 300607" xfId="651"/>
    <cellStyle name="_FX revaluations - Feb-09" xfId="652"/>
    <cellStyle name="_GDLNG - 51310" xfId="653"/>
    <cellStyle name="_GFO" xfId="654"/>
    <cellStyle name="_GL" xfId="655"/>
    <cellStyle name="_GL- base data checked Y" xfId="656"/>
    <cellStyle name="_GL entries" xfId="657"/>
    <cellStyle name="_GL entries_1" xfId="658"/>
    <cellStyle name="_GL entries_2" xfId="659"/>
    <cellStyle name="_GL_1" xfId="660"/>
    <cellStyle name="_GM for GFO" xfId="661"/>
    <cellStyle name="_GRES DEAL REMEDIATED" xfId="662"/>
    <cellStyle name="_GRESCurves2008_DEV" xfId="663"/>
    <cellStyle name="_GRESCurves2008_DEV (2)" xfId="664"/>
    <cellStyle name="_GTE retention update @310309" xfId="665"/>
    <cellStyle name="_GTEL Combined Reporting Pack July 2007 GFOv3" xfId="666"/>
    <cellStyle name="_GTEL Combined Reporting Pack July 2007 GFOv3_1" xfId="667"/>
    <cellStyle name="_GTEL Combined Reporting Pack July 2007 GFOv4 (amended from discussion with Con Gregg)" xfId="668"/>
    <cellStyle name="_GTEL Combined Reporting Pack July 2007 GFOv4 (amended from discussion with Con Gregg)_1" xfId="669"/>
    <cellStyle name="_Header" xfId="670"/>
    <cellStyle name="_Header_030150OT" xfId="671"/>
    <cellStyle name="_Header_16238" xfId="672"/>
    <cellStyle name="_Header_16238 BS -Accounts" xfId="673"/>
    <cellStyle name="_Header_16238 Tax Computation Feb-09" xfId="674"/>
    <cellStyle name="_Header_16238 Trader Bonus Accrual Jan 09" xfId="675"/>
    <cellStyle name="_Header_17776 P&amp;L MAY-09" xfId="676"/>
    <cellStyle name="_Header_17776_18800_MAR09" xfId="677"/>
    <cellStyle name="_Header_401005012" xfId="678"/>
    <cellStyle name="_Header_411005216" xfId="679"/>
    <cellStyle name="_Header_AprGFO(source)" xfId="680"/>
    <cellStyle name="_Header_BFA calendar" xfId="681"/>
    <cellStyle name="_Header_BP Shipping 2Q07 GAIT File" xfId="682"/>
    <cellStyle name="_Header_Calculation" xfId="683"/>
    <cellStyle name="_Header_Credit Analysis Data" xfId="684"/>
    <cellStyle name="_Header_Creditors" xfId="685"/>
    <cellStyle name="_Header_Daily Discretionary Freight Trading PL template" xfId="686"/>
    <cellStyle name="_Header_DEC-08 SUMMARY" xfId="687"/>
    <cellStyle name="_Header_Dewa Maru" xfId="688"/>
    <cellStyle name="_Header_Emerald" xfId="689"/>
    <cellStyle name="_Header_Expo" xfId="690"/>
    <cellStyle name="_Header_fbl3n data" xfId="691"/>
    <cellStyle name="_Header_forecast split" xfId="692"/>
    <cellStyle name="_Header_GAIT feed" xfId="693"/>
    <cellStyle name="_Header_GM for GFO" xfId="694"/>
    <cellStyle name="_Header_GS_Adjustments" xfId="695"/>
    <cellStyle name="_Header_Iberia Knutsen" xfId="696"/>
    <cellStyle name="_Header_IFRS PPM" xfId="697"/>
    <cellStyle name="_Header_IMP report - Avg 3G penetration of customer base" xfId="698"/>
    <cellStyle name="_Header_Innovator" xfId="699"/>
    <cellStyle name="_Header_Journal upload" xfId="700"/>
    <cellStyle name="_Header_JUL-08 CREDITORS" xfId="701"/>
    <cellStyle name="_Header_JUL-08 DEBTORS" xfId="702"/>
    <cellStyle name="_Header_Jun-09" xfId="703"/>
    <cellStyle name="_Header_MAR-09 SUMMARY" xfId="704"/>
    <cellStyle name="_Header_Merchant" xfId="705"/>
    <cellStyle name="_Header_OCT-08 SUMMARY" xfId="706"/>
    <cellStyle name="_Header_operating costs" xfId="707"/>
    <cellStyle name="_Header_Output_Data" xfId="708"/>
    <cellStyle name="_Header_P&amp;L 9 SEP07 SK STELLAR" xfId="709"/>
    <cellStyle name="_Header_Pioneer" xfId="710"/>
    <cellStyle name="_Header_Plan(source)" xfId="711"/>
    <cellStyle name="_Header_PRI data" xfId="712"/>
    <cellStyle name="_Header_Sheet1" xfId="713"/>
    <cellStyle name="_Header_Sheet1_1" xfId="714"/>
    <cellStyle name="_Header_Sheet1_111 TM080709-03 Q209 BS NETTING EUR" xfId="715"/>
    <cellStyle name="_Header_Sheet1_112 TM080709-04 Q209 BS NETTING GBP" xfId="716"/>
    <cellStyle name="_Header_Sheet1_113 TM080709-05  Q209 BS NETTING USD" xfId="717"/>
    <cellStyle name="_Header_Sheet1_120 TT080709-14 TAX JUN 09 V2" xfId="718"/>
    <cellStyle name="_Header_Sheet1_JAN-09 SUMMARY" xfId="719"/>
    <cellStyle name="_Header_Sheet1_Sheet1" xfId="720"/>
    <cellStyle name="_Header_Sheet12" xfId="721"/>
    <cellStyle name="_Header_Shipping" xfId="722"/>
    <cellStyle name="_Header_Shipping ledger" xfId="723"/>
    <cellStyle name="_Header_STTC LIVE" xfId="724"/>
    <cellStyle name="_Header_Summary" xfId="725"/>
    <cellStyle name="_Header_SUMMARY_030150OT" xfId="726"/>
    <cellStyle name="_Header_SUMMARY_111 TM080709-03 Q209 BS NETTING EUR" xfId="727"/>
    <cellStyle name="_Header_SUMMARY_112 TM080709-04 Q209 BS NETTING GBP" xfId="728"/>
    <cellStyle name="_Header_SUMMARY_113 TM080709-05  Q209 BS NETTING USD" xfId="729"/>
    <cellStyle name="_Header_SUMMARY_120 TT080709-14 TAX JUN 09 V2" xfId="730"/>
    <cellStyle name="_Header_SUMMARY_17776 P&amp;L MAY-09" xfId="731"/>
    <cellStyle name="_Header_SUMMARY_Creditors" xfId="732"/>
    <cellStyle name="_Header_SUMMARY_Journal upload" xfId="733"/>
    <cellStyle name="_Header_Summary_Sheet1" xfId="734"/>
    <cellStyle name="_Header_Summary_Sheet1_120 TT080709-14 TAX JUN 09 V2" xfId="735"/>
    <cellStyle name="_Header_Summary_Sheet1_17776 P&amp;L MAY-09" xfId="736"/>
    <cellStyle name="_Header_SUMMARY_Sheet1_EUC" xfId="737"/>
    <cellStyle name="_Header_Summary_Sheet1_Sheet1" xfId="738"/>
    <cellStyle name="_Header_Time Charter Vessels WD3 (2)" xfId="739"/>
    <cellStyle name="_Header_TLNG (Adj Intra BU)" xfId="740"/>
    <cellStyle name="_Header_TLNG (Adj Intra BU)GM Act" xfId="741"/>
    <cellStyle name="_Header_Trader" xfId="742"/>
    <cellStyle name="_Header_YTD GM Sign Off &amp; Forecast" xfId="743"/>
    <cellStyle name="_Header_YTD GM Sign Off April v1" xfId="744"/>
    <cellStyle name="_IFRS PPM" xfId="745"/>
    <cellStyle name="_InputCurve" xfId="746"/>
    <cellStyle name="_Inputs 2" xfId="747"/>
    <cellStyle name="_Invoice workings" xfId="748"/>
    <cellStyle name="_IR3614 Transfer of GTEL (16238) Trader Bonuses 2007" xfId="749"/>
    <cellStyle name="_Jnl - Jan09 GDLNG JV actual" xfId="750"/>
    <cellStyle name="_Journal" xfId="751"/>
    <cellStyle name="_Journal (GBP)" xfId="752"/>
    <cellStyle name="_Journal (new USD)" xfId="753"/>
    <cellStyle name="_Journal GBP" xfId="754"/>
    <cellStyle name="_Journal upload" xfId="755"/>
    <cellStyle name="_July 08 to Sept 08 Cargo Details -  Actual v2s" xfId="756"/>
    <cellStyle name="_July 08 to Sept 08 Cargo Details -  Actuals" xfId="757"/>
    <cellStyle name="_June Month End LNG File 4_7_08" xfId="758"/>
    <cellStyle name="_MAR-09" xfId="759"/>
    <cellStyle name="_MAR-09 SUMMARY" xfId="760"/>
    <cellStyle name="_New P&amp;L Report" xfId="761"/>
    <cellStyle name="_NoData" xfId="762"/>
    <cellStyle name="_OCT-08 SUMMARY" xfId="763"/>
    <cellStyle name="_OptionPricer" xfId="764"/>
    <cellStyle name="_Parameters" xfId="765"/>
    <cellStyle name="_Purchases" xfId="766"/>
    <cellStyle name="_Rec" xfId="767"/>
    <cellStyle name="_Relco Jounral Bilbao 0109" xfId="768"/>
    <cellStyle name="_Report" xfId="769"/>
    <cellStyle name="_Row1" xfId="770"/>
    <cellStyle name="_Row1_200908 Share of GDLNG JV Aug 09 REMEDIATED" xfId="771"/>
    <cellStyle name="_Row1_AprGFO(source)" xfId="772"/>
    <cellStyle name="_Row1_BFA calendar" xfId="773"/>
    <cellStyle name="_Row1_BP Shipping Figures" xfId="774"/>
    <cellStyle name="_Row1_Daily Discretionary Freight Trading PL template" xfId="775"/>
    <cellStyle name="_Row1_Expo" xfId="776"/>
    <cellStyle name="_Row1_GS_Adjustments" xfId="777"/>
    <cellStyle name="_Row1_IMP report - Avg 3G penetration of customer base" xfId="778"/>
    <cellStyle name="_Row1_OBS Leases New" xfId="779"/>
    <cellStyle name="_Row1_OBS Leases New_1" xfId="780"/>
    <cellStyle name="_Row1_operating costs" xfId="781"/>
    <cellStyle name="_Row1_Output_Data" xfId="782"/>
    <cellStyle name="_Row1_Plan(source)" xfId="783"/>
    <cellStyle name="_Row1_Shipping ledger" xfId="784"/>
    <cellStyle name="_Row1_Shipping LTCC Data" xfId="785"/>
    <cellStyle name="_Row1_STTC LIVE" xfId="786"/>
    <cellStyle name="_Row10" xfId="787"/>
    <cellStyle name="_Row2" xfId="788"/>
    <cellStyle name="_Row2_030150OT" xfId="789"/>
    <cellStyle name="_Row2_16238" xfId="790"/>
    <cellStyle name="_Row2_16238 BS -Accounts" xfId="791"/>
    <cellStyle name="_Row2_16238 Tax Computation Feb-09" xfId="792"/>
    <cellStyle name="_Row2_16238 Trader Bonus Accrual Jan 09" xfId="793"/>
    <cellStyle name="_Row2_17776 P&amp;L MAY-09" xfId="794"/>
    <cellStyle name="_Row2_17776_18800_MAR09" xfId="795"/>
    <cellStyle name="_Row2_401005012" xfId="796"/>
    <cellStyle name="_Row2_411005216" xfId="797"/>
    <cellStyle name="_Row2_AprGFO(source)" xfId="798"/>
    <cellStyle name="_Row2_BFA calendar" xfId="799"/>
    <cellStyle name="_Row2_BP Shipping 2Q07 GAIT File" xfId="800"/>
    <cellStyle name="_Row2_Calculation" xfId="801"/>
    <cellStyle name="_Row2_Credit Analysis Data" xfId="802"/>
    <cellStyle name="_Row2_Creditors" xfId="803"/>
    <cellStyle name="_Row2_Daily Discretionary Freight Trading PL template" xfId="804"/>
    <cellStyle name="_Row2_DEC-08 SUMMARY" xfId="805"/>
    <cellStyle name="_Row2_Dewa Maru" xfId="806"/>
    <cellStyle name="_Row2_Emerald" xfId="807"/>
    <cellStyle name="_Row2_Expo" xfId="808"/>
    <cellStyle name="_Row2_fbl3n data" xfId="809"/>
    <cellStyle name="_Row2_forecast split" xfId="810"/>
    <cellStyle name="_Row2_GAIT feed" xfId="811"/>
    <cellStyle name="_Row2_GM for GFO" xfId="812"/>
    <cellStyle name="_Row2_GS_Adjustments" xfId="813"/>
    <cellStyle name="_Row2_Iberia Knutsen" xfId="814"/>
    <cellStyle name="_Row2_IFRS PPM" xfId="815"/>
    <cellStyle name="_Row2_IMP report - Avg 3G penetration of customer base" xfId="816"/>
    <cellStyle name="_Row2_Innovator" xfId="817"/>
    <cellStyle name="_Row2_Journal upload" xfId="818"/>
    <cellStyle name="_Row2_JUL-08 CREDITORS" xfId="819"/>
    <cellStyle name="_Row2_JUL-08 DEBTORS" xfId="820"/>
    <cellStyle name="_Row2_Jun-09" xfId="821"/>
    <cellStyle name="_Row2_MAR-09 SUMMARY" xfId="822"/>
    <cellStyle name="_Row2_Merchant" xfId="823"/>
    <cellStyle name="_Row2_OCT-08 SUMMARY" xfId="824"/>
    <cellStyle name="_Row2_operating costs" xfId="825"/>
    <cellStyle name="_Row2_Output_Data" xfId="826"/>
    <cellStyle name="_Row2_P&amp;L 9 SEP07 SK STELLAR" xfId="827"/>
    <cellStyle name="_Row2_Pioneer" xfId="828"/>
    <cellStyle name="_Row2_Plan(source)" xfId="829"/>
    <cellStyle name="_Row2_PRI data" xfId="830"/>
    <cellStyle name="_Row2_Sheet1" xfId="831"/>
    <cellStyle name="_Row2_Sheet1_1" xfId="832"/>
    <cellStyle name="_Row2_Sheet1_111 TM080709-03 Q209 BS NETTING EUR" xfId="833"/>
    <cellStyle name="_Row2_Sheet1_112 TM080709-04 Q209 BS NETTING GBP" xfId="834"/>
    <cellStyle name="_Row2_Sheet1_113 TM080709-05  Q209 BS NETTING USD" xfId="835"/>
    <cellStyle name="_Row2_Sheet1_120 TT080709-14 TAX JUN 09 V2" xfId="836"/>
    <cellStyle name="_Row2_Sheet1_JAN-09 SUMMARY" xfId="837"/>
    <cellStyle name="_Row2_Sheet1_Sheet1" xfId="838"/>
    <cellStyle name="_Row2_Sheet12" xfId="839"/>
    <cellStyle name="_Row2_Shipping" xfId="840"/>
    <cellStyle name="_Row2_Shipping ledger" xfId="841"/>
    <cellStyle name="_Row2_STTC LIVE" xfId="842"/>
    <cellStyle name="_Row2_Summary" xfId="843"/>
    <cellStyle name="_Row2_SUMMARY_030150OT" xfId="844"/>
    <cellStyle name="_Row2_SUMMARY_111 TM080709-03 Q209 BS NETTING EUR" xfId="845"/>
    <cellStyle name="_Row2_SUMMARY_112 TM080709-04 Q209 BS NETTING GBP" xfId="846"/>
    <cellStyle name="_Row2_SUMMARY_113 TM080709-05  Q209 BS NETTING USD" xfId="847"/>
    <cellStyle name="_Row2_SUMMARY_120 TT080709-14 TAX JUN 09 V2" xfId="848"/>
    <cellStyle name="_Row2_SUMMARY_17776 P&amp;L MAY-09" xfId="849"/>
    <cellStyle name="_Row2_SUMMARY_Creditors" xfId="850"/>
    <cellStyle name="_Row2_SUMMARY_Journal upload" xfId="851"/>
    <cellStyle name="_Row2_Summary_Sheet1" xfId="852"/>
    <cellStyle name="_Row2_Summary_Sheet1_120 TT080709-14 TAX JUN 09 V2" xfId="853"/>
    <cellStyle name="_Row2_Summary_Sheet1_17776 P&amp;L MAY-09" xfId="854"/>
    <cellStyle name="_Row2_SUMMARY_Sheet1_EUC" xfId="855"/>
    <cellStyle name="_Row2_Summary_Sheet1_Sheet1" xfId="856"/>
    <cellStyle name="_Row2_Time Charter Vessels WD3 (2)" xfId="857"/>
    <cellStyle name="_Row2_TLNG (Adj Intra BU)" xfId="858"/>
    <cellStyle name="_Row2_TLNG (Adj Intra BU)GM Act" xfId="859"/>
    <cellStyle name="_Row2_Trader" xfId="860"/>
    <cellStyle name="_Row2_YTD GM Sign Off &amp; Forecast" xfId="861"/>
    <cellStyle name="_Row2_YTD GM Sign Off April v1" xfId="862"/>
    <cellStyle name="_Row3" xfId="863"/>
    <cellStyle name="_Row3_030150OT" xfId="864"/>
    <cellStyle name="_Row3_16238" xfId="865"/>
    <cellStyle name="_Row3_16238 BS -Accounts" xfId="866"/>
    <cellStyle name="_Row3_16238 Tax Computation Feb-09" xfId="867"/>
    <cellStyle name="_Row3_16238 Trader Bonus Accrual Jan 09" xfId="868"/>
    <cellStyle name="_Row3_17776 P&amp;L MAY-09" xfId="869"/>
    <cellStyle name="_Row3_17776_18800_MAR09" xfId="870"/>
    <cellStyle name="_Row3_401005012" xfId="871"/>
    <cellStyle name="_Row3_411005216" xfId="872"/>
    <cellStyle name="_Row3_AprGFO(source)" xfId="873"/>
    <cellStyle name="_Row3_BFA calendar" xfId="874"/>
    <cellStyle name="_Row3_BP Shipping 2Q07 GAIT File" xfId="875"/>
    <cellStyle name="_Row3_Calculation" xfId="876"/>
    <cellStyle name="_Row3_Credit Analysis Data" xfId="877"/>
    <cellStyle name="_Row3_Creditors" xfId="878"/>
    <cellStyle name="_Row3_Daily Discretionary Freight Trading PL template" xfId="879"/>
    <cellStyle name="_Row3_DEC-08 SUMMARY" xfId="880"/>
    <cellStyle name="_Row3_Dewa Maru" xfId="881"/>
    <cellStyle name="_Row3_Emerald" xfId="882"/>
    <cellStyle name="_Row3_Expo" xfId="883"/>
    <cellStyle name="_Row3_fbl3n data" xfId="884"/>
    <cellStyle name="_Row3_forecast split" xfId="885"/>
    <cellStyle name="_Row3_GAIT feed" xfId="886"/>
    <cellStyle name="_Row3_GM for GFO" xfId="887"/>
    <cellStyle name="_Row3_GS_Adjustments" xfId="888"/>
    <cellStyle name="_Row3_Iberia Knutsen" xfId="889"/>
    <cellStyle name="_Row3_IFRS PPM" xfId="890"/>
    <cellStyle name="_Row3_IMP report - Avg 3G penetration of customer base" xfId="891"/>
    <cellStyle name="_Row3_Innovator" xfId="892"/>
    <cellStyle name="_Row3_Journal upload" xfId="893"/>
    <cellStyle name="_Row3_JUL-08 CREDITORS" xfId="894"/>
    <cellStyle name="_Row3_JUL-08 DEBTORS" xfId="895"/>
    <cellStyle name="_Row3_Jun-09" xfId="896"/>
    <cellStyle name="_Row3_MAR-09 SUMMARY" xfId="897"/>
    <cellStyle name="_Row3_Merchant" xfId="898"/>
    <cellStyle name="_Row3_OCT-08 SUMMARY" xfId="899"/>
    <cellStyle name="_Row3_operating costs" xfId="900"/>
    <cellStyle name="_Row3_Output_Data" xfId="901"/>
    <cellStyle name="_Row3_P&amp;L 9 SEP07 SK STELLAR" xfId="902"/>
    <cellStyle name="_Row3_Pioneer" xfId="903"/>
    <cellStyle name="_Row3_Plan(source)" xfId="904"/>
    <cellStyle name="_Row3_PRI data" xfId="905"/>
    <cellStyle name="_Row3_Sheet1" xfId="906"/>
    <cellStyle name="_Row3_Sheet1_1" xfId="907"/>
    <cellStyle name="_Row3_Sheet1_111 TM080709-03 Q209 BS NETTING EUR" xfId="908"/>
    <cellStyle name="_Row3_Sheet1_112 TM080709-04 Q209 BS NETTING GBP" xfId="909"/>
    <cellStyle name="_Row3_Sheet1_113 TM080709-05  Q209 BS NETTING USD" xfId="910"/>
    <cellStyle name="_Row3_Sheet1_120 TT080709-14 TAX JUN 09 V2" xfId="911"/>
    <cellStyle name="_Row3_Sheet1_JAN-09 SUMMARY" xfId="912"/>
    <cellStyle name="_Row3_Sheet1_Sheet1" xfId="913"/>
    <cellStyle name="_Row3_Sheet12" xfId="914"/>
    <cellStyle name="_Row3_Shipping" xfId="915"/>
    <cellStyle name="_Row3_Shipping ledger" xfId="916"/>
    <cellStyle name="_Row3_STTC LIVE" xfId="917"/>
    <cellStyle name="_Row3_Summary" xfId="918"/>
    <cellStyle name="_Row3_SUMMARY_030150OT" xfId="919"/>
    <cellStyle name="_Row3_SUMMARY_111 TM080709-03 Q209 BS NETTING EUR" xfId="920"/>
    <cellStyle name="_Row3_SUMMARY_112 TM080709-04 Q209 BS NETTING GBP" xfId="921"/>
    <cellStyle name="_Row3_SUMMARY_113 TM080709-05  Q209 BS NETTING USD" xfId="922"/>
    <cellStyle name="_Row3_SUMMARY_120 TT080709-14 TAX JUN 09 V2" xfId="923"/>
    <cellStyle name="_Row3_SUMMARY_17776 P&amp;L MAY-09" xfId="924"/>
    <cellStyle name="_Row3_SUMMARY_Creditors" xfId="925"/>
    <cellStyle name="_Row3_SUMMARY_Journal upload" xfId="926"/>
    <cellStyle name="_Row3_Summary_Sheet1" xfId="927"/>
    <cellStyle name="_Row3_Summary_Sheet1_120 TT080709-14 TAX JUN 09 V2" xfId="928"/>
    <cellStyle name="_Row3_Summary_Sheet1_17776 P&amp;L MAY-09" xfId="929"/>
    <cellStyle name="_Row3_SUMMARY_Sheet1_EUC" xfId="930"/>
    <cellStyle name="_Row3_Summary_Sheet1_Sheet1" xfId="931"/>
    <cellStyle name="_Row3_Time Charter Vessels WD3 (2)" xfId="932"/>
    <cellStyle name="_Row3_TLNG (Adj Intra BU)" xfId="933"/>
    <cellStyle name="_Row3_TLNG (Adj Intra BU)GM Act" xfId="934"/>
    <cellStyle name="_Row3_Trader" xfId="935"/>
    <cellStyle name="_Row3_YTD GM Sign Off &amp; Forecast" xfId="936"/>
    <cellStyle name="_Row3_YTD GM Sign Off April v1" xfId="937"/>
    <cellStyle name="_Row4" xfId="938"/>
    <cellStyle name="_Row4_030150OT" xfId="939"/>
    <cellStyle name="_Row4_16238" xfId="940"/>
    <cellStyle name="_Row4_16238 BS -Accounts" xfId="941"/>
    <cellStyle name="_Row4_16238 Tax Computation Feb-09" xfId="942"/>
    <cellStyle name="_Row4_16238 Trader Bonus Accrual Jan 09" xfId="943"/>
    <cellStyle name="_Row4_17776 P&amp;L MAY-09" xfId="944"/>
    <cellStyle name="_Row4_17776_18800_MAR09" xfId="945"/>
    <cellStyle name="_Row4_401005012" xfId="946"/>
    <cellStyle name="_Row4_411005216" xfId="947"/>
    <cellStyle name="_Row4_AprGFO(source)" xfId="948"/>
    <cellStyle name="_Row4_BFA calendar" xfId="949"/>
    <cellStyle name="_Row4_BP Shipping 2Q07 GAIT File" xfId="950"/>
    <cellStyle name="_Row4_Calculation" xfId="951"/>
    <cellStyle name="_Row4_Credit Analysis Data" xfId="952"/>
    <cellStyle name="_Row4_Creditors" xfId="953"/>
    <cellStyle name="_Row4_Daily Discretionary Freight Trading PL template" xfId="954"/>
    <cellStyle name="_Row4_DEC-08 SUMMARY" xfId="955"/>
    <cellStyle name="_Row4_Dewa Maru" xfId="956"/>
    <cellStyle name="_Row4_Emerald" xfId="957"/>
    <cellStyle name="_Row4_Expo" xfId="958"/>
    <cellStyle name="_Row4_fbl3n data" xfId="959"/>
    <cellStyle name="_Row4_forecast split" xfId="960"/>
    <cellStyle name="_Row4_GAIT feed" xfId="961"/>
    <cellStyle name="_Row4_GM for GFO" xfId="962"/>
    <cellStyle name="_Row4_GS_Adjustments" xfId="963"/>
    <cellStyle name="_Row4_Iberia Knutsen" xfId="964"/>
    <cellStyle name="_Row4_IFRS PPM" xfId="965"/>
    <cellStyle name="_Row4_IMP report - Avg 3G penetration of customer base" xfId="966"/>
    <cellStyle name="_Row4_Innovator" xfId="967"/>
    <cellStyle name="_Row4_Journal upload" xfId="968"/>
    <cellStyle name="_Row4_JUL-08 CREDITORS" xfId="969"/>
    <cellStyle name="_Row4_JUL-08 DEBTORS" xfId="970"/>
    <cellStyle name="_Row4_Jun-09" xfId="971"/>
    <cellStyle name="_Row4_MAR-09 SUMMARY" xfId="972"/>
    <cellStyle name="_Row4_Merchant" xfId="973"/>
    <cellStyle name="_Row4_OCT-08 SUMMARY" xfId="974"/>
    <cellStyle name="_Row4_operating costs" xfId="975"/>
    <cellStyle name="_Row4_Output_Data" xfId="976"/>
    <cellStyle name="_Row4_P&amp;L 9 SEP07 SK STELLAR" xfId="977"/>
    <cellStyle name="_Row4_Pioneer" xfId="978"/>
    <cellStyle name="_Row4_Plan(source)" xfId="979"/>
    <cellStyle name="_Row4_PRI data" xfId="980"/>
    <cellStyle name="_Row4_Sheet1" xfId="981"/>
    <cellStyle name="_Row4_Sheet1_1" xfId="982"/>
    <cellStyle name="_Row4_Sheet1_111 TM080709-03 Q209 BS NETTING EUR" xfId="983"/>
    <cellStyle name="_Row4_Sheet1_112 TM080709-04 Q209 BS NETTING GBP" xfId="984"/>
    <cellStyle name="_Row4_Sheet1_113 TM080709-05  Q209 BS NETTING USD" xfId="985"/>
    <cellStyle name="_Row4_Sheet1_120 TT080709-14 TAX JUN 09 V2" xfId="986"/>
    <cellStyle name="_Row4_Sheet1_JAN-09 SUMMARY" xfId="987"/>
    <cellStyle name="_Row4_Sheet1_Sheet1" xfId="988"/>
    <cellStyle name="_Row4_Sheet12" xfId="989"/>
    <cellStyle name="_Row4_Shipping" xfId="990"/>
    <cellStyle name="_Row4_Shipping ledger" xfId="991"/>
    <cellStyle name="_Row4_STTC LIVE" xfId="992"/>
    <cellStyle name="_Row4_Summary" xfId="993"/>
    <cellStyle name="_Row4_SUMMARY_030150OT" xfId="994"/>
    <cellStyle name="_Row4_SUMMARY_111 TM080709-03 Q209 BS NETTING EUR" xfId="995"/>
    <cellStyle name="_Row4_SUMMARY_112 TM080709-04 Q209 BS NETTING GBP" xfId="996"/>
    <cellStyle name="_Row4_SUMMARY_113 TM080709-05  Q209 BS NETTING USD" xfId="997"/>
    <cellStyle name="_Row4_SUMMARY_120 TT080709-14 TAX JUN 09 V2" xfId="998"/>
    <cellStyle name="_Row4_SUMMARY_17776 P&amp;L MAY-09" xfId="999"/>
    <cellStyle name="_Row4_SUMMARY_Creditors" xfId="1000"/>
    <cellStyle name="_Row4_SUMMARY_Journal upload" xfId="1001"/>
    <cellStyle name="_Row4_Summary_Sheet1" xfId="1002"/>
    <cellStyle name="_Row4_Summary_Sheet1_120 TT080709-14 TAX JUN 09 V2" xfId="1003"/>
    <cellStyle name="_Row4_Summary_Sheet1_17776 P&amp;L MAY-09" xfId="1004"/>
    <cellStyle name="_Row4_SUMMARY_Sheet1_EUC" xfId="1005"/>
    <cellStyle name="_Row4_Summary_Sheet1_Sheet1" xfId="1006"/>
    <cellStyle name="_Row4_Time Charter Vessels WD3 (2)" xfId="1007"/>
    <cellStyle name="_Row4_TLNG (Adj Intra BU)" xfId="1008"/>
    <cellStyle name="_Row4_TLNG (Adj Intra BU)GM Act" xfId="1009"/>
    <cellStyle name="_Row4_Trader" xfId="1010"/>
    <cellStyle name="_Row4_YTD GM Sign Off &amp; Forecast" xfId="1011"/>
    <cellStyle name="_Row4_YTD GM Sign Off April v1" xfId="1012"/>
    <cellStyle name="_Row5" xfId="1013"/>
    <cellStyle name="_Row5_030150OT" xfId="1014"/>
    <cellStyle name="_Row5_16238" xfId="1015"/>
    <cellStyle name="_Row5_16238 BS -Accounts" xfId="1016"/>
    <cellStyle name="_Row5_16238 Tax Computation Feb-09" xfId="1017"/>
    <cellStyle name="_Row5_16238 Trader Bonus Accrual Jan 09" xfId="1018"/>
    <cellStyle name="_Row5_17776 P&amp;L MAY-09" xfId="1019"/>
    <cellStyle name="_Row5_17776_18800_MAR09" xfId="1020"/>
    <cellStyle name="_Row5_401005012" xfId="1021"/>
    <cellStyle name="_Row5_411005216" xfId="1022"/>
    <cellStyle name="_Row5_BFA calendar" xfId="1023"/>
    <cellStyle name="_Row5_BP Shipping 2Q07 GAIT File" xfId="1024"/>
    <cellStyle name="_Row5_Calculation" xfId="1025"/>
    <cellStyle name="_Row5_Credit Analysis Data" xfId="1026"/>
    <cellStyle name="_Row5_Creditors" xfId="1027"/>
    <cellStyle name="_Row5_Daily Discretionary Freight Trading PL template" xfId="1028"/>
    <cellStyle name="_Row5_DEC-08 SUMMARY" xfId="1029"/>
    <cellStyle name="_Row5_Dewa Maru" xfId="1030"/>
    <cellStyle name="_Row5_Emerald" xfId="1031"/>
    <cellStyle name="_Row5_Expo" xfId="1032"/>
    <cellStyle name="_Row5_fbl3n data" xfId="1033"/>
    <cellStyle name="_Row5_forecast split" xfId="1034"/>
    <cellStyle name="_Row5_GAIT feed" xfId="1035"/>
    <cellStyle name="_Row5_GM for GFO" xfId="1036"/>
    <cellStyle name="_Row5_GS_Adjustments" xfId="1037"/>
    <cellStyle name="_Row5_Iberia Knutsen" xfId="1038"/>
    <cellStyle name="_Row5_IFRS PPM" xfId="1039"/>
    <cellStyle name="_Row5_IMP report - Avg 3G penetration of customer base" xfId="1040"/>
    <cellStyle name="_Row5_Innovator" xfId="1041"/>
    <cellStyle name="_Row5_Journal upload" xfId="1042"/>
    <cellStyle name="_Row5_JUL-08 CREDITORS" xfId="1043"/>
    <cellStyle name="_Row5_JUL-08 DEBTORS" xfId="1044"/>
    <cellStyle name="_Row5_Jun-09" xfId="1045"/>
    <cellStyle name="_Row5_MAR-09 SUMMARY" xfId="1046"/>
    <cellStyle name="_Row5_Merchant" xfId="1047"/>
    <cellStyle name="_Row5_OCT-08 SUMMARY" xfId="1048"/>
    <cellStyle name="_Row5_Output_Data" xfId="1049"/>
    <cellStyle name="_Row5_P&amp;L 9 SEP07 SK STELLAR" xfId="1050"/>
    <cellStyle name="_Row5_Pioneer" xfId="1051"/>
    <cellStyle name="_Row5_PRI data" xfId="1052"/>
    <cellStyle name="_Row5_Sheet1" xfId="1053"/>
    <cellStyle name="_Row5_Sheet1_1" xfId="1054"/>
    <cellStyle name="_Row5_Sheet1_111 TM080709-03 Q209 BS NETTING EUR" xfId="1055"/>
    <cellStyle name="_Row5_Sheet1_112 TM080709-04 Q209 BS NETTING GBP" xfId="1056"/>
    <cellStyle name="_Row5_Sheet1_113 TM080709-05  Q209 BS NETTING USD" xfId="1057"/>
    <cellStyle name="_Row5_Sheet1_120 TT080709-14 TAX JUN 09 V2" xfId="1058"/>
    <cellStyle name="_Row5_Sheet1_JAN-09 SUMMARY" xfId="1059"/>
    <cellStyle name="_Row5_Sheet1_Sheet1" xfId="1060"/>
    <cellStyle name="_Row5_Sheet12" xfId="1061"/>
    <cellStyle name="_Row5_Shipping" xfId="1062"/>
    <cellStyle name="_Row5_STTC LIVE" xfId="1063"/>
    <cellStyle name="_Row5_Summary" xfId="1064"/>
    <cellStyle name="_Row5_SUMMARY_030150OT" xfId="1065"/>
    <cellStyle name="_Row5_SUMMARY_111 TM080709-03 Q209 BS NETTING EUR" xfId="1066"/>
    <cellStyle name="_Row5_SUMMARY_112 TM080709-04 Q209 BS NETTING GBP" xfId="1067"/>
    <cellStyle name="_Row5_SUMMARY_113 TM080709-05  Q209 BS NETTING USD" xfId="1068"/>
    <cellStyle name="_Row5_SUMMARY_120 TT080709-14 TAX JUN 09 V2" xfId="1069"/>
    <cellStyle name="_Row5_SUMMARY_17776 P&amp;L MAY-09" xfId="1070"/>
    <cellStyle name="_Row5_SUMMARY_Creditors" xfId="1071"/>
    <cellStyle name="_Row5_SUMMARY_Journal upload" xfId="1072"/>
    <cellStyle name="_Row5_Summary_Sheet1" xfId="1073"/>
    <cellStyle name="_Row5_Summary_Sheet1_120 TT080709-14 TAX JUN 09 V2" xfId="1074"/>
    <cellStyle name="_Row5_Summary_Sheet1_17776 P&amp;L MAY-09" xfId="1075"/>
    <cellStyle name="_Row5_SUMMARY_Sheet1_EUC" xfId="1076"/>
    <cellStyle name="_Row5_Summary_Sheet1_Sheet1" xfId="1077"/>
    <cellStyle name="_Row5_Time Charter Vessels WD3 (2)" xfId="1078"/>
    <cellStyle name="_Row5_TLNG (Adj Intra BU)" xfId="1079"/>
    <cellStyle name="_Row5_TLNG (Adj Intra BU)GM Act" xfId="1080"/>
    <cellStyle name="_Row5_Trader" xfId="1081"/>
    <cellStyle name="_Row5_YTD GM Sign Off &amp; Forecast" xfId="1082"/>
    <cellStyle name="_Row5_YTD GM Sign Off April v1" xfId="1083"/>
    <cellStyle name="_Row6" xfId="1084"/>
    <cellStyle name="_Row6_030150OT" xfId="1085"/>
    <cellStyle name="_Row6_16238" xfId="1086"/>
    <cellStyle name="_Row6_16238 BS -Accounts" xfId="1087"/>
    <cellStyle name="_Row6_16238 Tax Computation Feb-09" xfId="1088"/>
    <cellStyle name="_Row6_16238 Trader Bonus Accrual Jan 09" xfId="1089"/>
    <cellStyle name="_Row6_17776 P&amp;L MAY-09" xfId="1090"/>
    <cellStyle name="_Row6_17776_18800_MAR09" xfId="1091"/>
    <cellStyle name="_Row6_401005012" xfId="1092"/>
    <cellStyle name="_Row6_411005216" xfId="1093"/>
    <cellStyle name="_Row6_BFA calendar" xfId="1094"/>
    <cellStyle name="_Row6_BP Shipping 2Q07 GAIT File" xfId="1095"/>
    <cellStyle name="_Row6_Calculation" xfId="1096"/>
    <cellStyle name="_Row6_Credit Analysis Data" xfId="1097"/>
    <cellStyle name="_Row6_Creditors" xfId="1098"/>
    <cellStyle name="_Row6_Daily Discretionary Freight Trading PL template" xfId="1099"/>
    <cellStyle name="_Row6_DEC-08 SUMMARY" xfId="1100"/>
    <cellStyle name="_Row6_Dewa Maru" xfId="1101"/>
    <cellStyle name="_Row6_Emerald" xfId="1102"/>
    <cellStyle name="_Row6_Expo" xfId="1103"/>
    <cellStyle name="_Row6_fbl3n data" xfId="1104"/>
    <cellStyle name="_Row6_forecast split" xfId="1105"/>
    <cellStyle name="_Row6_GAIT feed" xfId="1106"/>
    <cellStyle name="_Row6_GM for GFO" xfId="1107"/>
    <cellStyle name="_Row6_GS_Adjustments" xfId="1108"/>
    <cellStyle name="_Row6_Iberia Knutsen" xfId="1109"/>
    <cellStyle name="_Row6_IFRS PPM" xfId="1110"/>
    <cellStyle name="_Row6_IMP report - Avg 3G penetration of customer base" xfId="1111"/>
    <cellStyle name="_Row6_Innovator" xfId="1112"/>
    <cellStyle name="_Row6_Journal upload" xfId="1113"/>
    <cellStyle name="_Row6_JUL-08 CREDITORS" xfId="1114"/>
    <cellStyle name="_Row6_JUL-08 DEBTORS" xfId="1115"/>
    <cellStyle name="_Row6_Jun-09" xfId="1116"/>
    <cellStyle name="_Row6_MAR-09 SUMMARY" xfId="1117"/>
    <cellStyle name="_Row6_Merchant" xfId="1118"/>
    <cellStyle name="_Row6_OCT-08 SUMMARY" xfId="1119"/>
    <cellStyle name="_Row6_Output_Data" xfId="1120"/>
    <cellStyle name="_Row6_P&amp;L 9 SEP07 SK STELLAR" xfId="1121"/>
    <cellStyle name="_Row6_Pioneer" xfId="1122"/>
    <cellStyle name="_Row6_PRI data" xfId="1123"/>
    <cellStyle name="_Row6_Sheet1" xfId="1124"/>
    <cellStyle name="_Row6_Sheet1_1" xfId="1125"/>
    <cellStyle name="_Row6_Sheet1_111 TM080709-03 Q209 BS NETTING EUR" xfId="1126"/>
    <cellStyle name="_Row6_Sheet1_112 TM080709-04 Q209 BS NETTING GBP" xfId="1127"/>
    <cellStyle name="_Row6_Sheet1_113 TM080709-05  Q209 BS NETTING USD" xfId="1128"/>
    <cellStyle name="_Row6_Sheet1_120 TT080709-14 TAX JUN 09 V2" xfId="1129"/>
    <cellStyle name="_Row6_Sheet1_JAN-09 SUMMARY" xfId="1130"/>
    <cellStyle name="_Row6_Sheet1_Sheet1" xfId="1131"/>
    <cellStyle name="_Row6_Sheet12" xfId="1132"/>
    <cellStyle name="_Row6_Shipping" xfId="1133"/>
    <cellStyle name="_Row6_STTC LIVE" xfId="1134"/>
    <cellStyle name="_Row6_Summary" xfId="1135"/>
    <cellStyle name="_Row6_SUMMARY_030150OT" xfId="1136"/>
    <cellStyle name="_Row6_SUMMARY_111 TM080709-03 Q209 BS NETTING EUR" xfId="1137"/>
    <cellStyle name="_Row6_SUMMARY_112 TM080709-04 Q209 BS NETTING GBP" xfId="1138"/>
    <cellStyle name="_Row6_SUMMARY_113 TM080709-05  Q209 BS NETTING USD" xfId="1139"/>
    <cellStyle name="_Row6_SUMMARY_120 TT080709-14 TAX JUN 09 V2" xfId="1140"/>
    <cellStyle name="_Row6_SUMMARY_17776 P&amp;L MAY-09" xfId="1141"/>
    <cellStyle name="_Row6_SUMMARY_Creditors" xfId="1142"/>
    <cellStyle name="_Row6_SUMMARY_Journal upload" xfId="1143"/>
    <cellStyle name="_Row6_Summary_Sheet1" xfId="1144"/>
    <cellStyle name="_Row6_Summary_Sheet1_120 TT080709-14 TAX JUN 09 V2" xfId="1145"/>
    <cellStyle name="_Row6_Summary_Sheet1_17776 P&amp;L MAY-09" xfId="1146"/>
    <cellStyle name="_Row6_SUMMARY_Sheet1_EUC" xfId="1147"/>
    <cellStyle name="_Row6_Summary_Sheet1_Sheet1" xfId="1148"/>
    <cellStyle name="_Row6_Time Charter Vessels WD3 (2)" xfId="1149"/>
    <cellStyle name="_Row6_TLNG (Adj Intra BU)" xfId="1150"/>
    <cellStyle name="_Row6_TLNG (Adj Intra BU)GM Act" xfId="1151"/>
    <cellStyle name="_Row6_Trader" xfId="1152"/>
    <cellStyle name="_Row6_YTD GM Sign Off &amp; Forecast" xfId="1153"/>
    <cellStyle name="_Row6_YTD GM Sign Off April v1" xfId="1154"/>
    <cellStyle name="_Row7" xfId="1155"/>
    <cellStyle name="_Row7_030150OT" xfId="1156"/>
    <cellStyle name="_Row7_16238" xfId="1157"/>
    <cellStyle name="_Row7_16238 BS -Accounts" xfId="1158"/>
    <cellStyle name="_Row7_16238 Tax Computation Feb-09" xfId="1159"/>
    <cellStyle name="_Row7_16238 Trader Bonus Accrual Jan 09" xfId="1160"/>
    <cellStyle name="_Row7_17776 P&amp;L MAY-09" xfId="1161"/>
    <cellStyle name="_Row7_17776_18800_MAR09" xfId="1162"/>
    <cellStyle name="_Row7_401005012" xfId="1163"/>
    <cellStyle name="_Row7_411005216" xfId="1164"/>
    <cellStyle name="_Row7_BFA calendar" xfId="1165"/>
    <cellStyle name="_Row7_BP Shipping 2Q07 GAIT File" xfId="1166"/>
    <cellStyle name="_Row7_Calculation" xfId="1167"/>
    <cellStyle name="_Row7_Credit Analysis Data" xfId="1168"/>
    <cellStyle name="_Row7_Creditors" xfId="1169"/>
    <cellStyle name="_Row7_Daily Discretionary Freight Trading PL template" xfId="1170"/>
    <cellStyle name="_Row7_DEC-08 SUMMARY" xfId="1171"/>
    <cellStyle name="_Row7_Dewa Maru" xfId="1172"/>
    <cellStyle name="_Row7_Emerald" xfId="1173"/>
    <cellStyle name="_Row7_Expo" xfId="1174"/>
    <cellStyle name="_Row7_fbl3n data" xfId="1175"/>
    <cellStyle name="_Row7_forecast split" xfId="1176"/>
    <cellStyle name="_Row7_GAIT feed" xfId="1177"/>
    <cellStyle name="_Row7_GM for GFO" xfId="1178"/>
    <cellStyle name="_Row7_GS_Adjustments" xfId="1179"/>
    <cellStyle name="_Row7_Iberia Knutsen" xfId="1180"/>
    <cellStyle name="_Row7_IFRS PPM" xfId="1181"/>
    <cellStyle name="_Row7_IMP report - Avg 3G penetration of customer base" xfId="1182"/>
    <cellStyle name="_Row7_Innovator" xfId="1183"/>
    <cellStyle name="_Row7_Journal upload" xfId="1184"/>
    <cellStyle name="_Row7_JUL-08 CREDITORS" xfId="1185"/>
    <cellStyle name="_Row7_JUL-08 DEBTORS" xfId="1186"/>
    <cellStyle name="_Row7_Jun-09" xfId="1187"/>
    <cellStyle name="_Row7_MAR-09 SUMMARY" xfId="1188"/>
    <cellStyle name="_Row7_Merchant" xfId="1189"/>
    <cellStyle name="_Row7_OCT-08 SUMMARY" xfId="1190"/>
    <cellStyle name="_Row7_Output_Data" xfId="1191"/>
    <cellStyle name="_Row7_P&amp;L 9 SEP07 SK STELLAR" xfId="1192"/>
    <cellStyle name="_Row7_Pioneer" xfId="1193"/>
    <cellStyle name="_Row7_PRI data" xfId="1194"/>
    <cellStyle name="_Row7_Sheet1" xfId="1195"/>
    <cellStyle name="_Row7_Sheet1_1" xfId="1196"/>
    <cellStyle name="_Row7_Sheet1_111 TM080709-03 Q209 BS NETTING EUR" xfId="1197"/>
    <cellStyle name="_Row7_Sheet1_112 TM080709-04 Q209 BS NETTING GBP" xfId="1198"/>
    <cellStyle name="_Row7_Sheet1_113 TM080709-05  Q209 BS NETTING USD" xfId="1199"/>
    <cellStyle name="_Row7_Sheet1_120 TT080709-14 TAX JUN 09 V2" xfId="1200"/>
    <cellStyle name="_Row7_Sheet1_JAN-09 SUMMARY" xfId="1201"/>
    <cellStyle name="_Row7_Sheet1_Sheet1" xfId="1202"/>
    <cellStyle name="_Row7_Sheet12" xfId="1203"/>
    <cellStyle name="_Row7_Shipping" xfId="1204"/>
    <cellStyle name="_Row7_STTC LIVE" xfId="1205"/>
    <cellStyle name="_Row7_Summary" xfId="1206"/>
    <cellStyle name="_Row7_SUMMARY_030150OT" xfId="1207"/>
    <cellStyle name="_Row7_SUMMARY_111 TM080709-03 Q209 BS NETTING EUR" xfId="1208"/>
    <cellStyle name="_Row7_SUMMARY_112 TM080709-04 Q209 BS NETTING GBP" xfId="1209"/>
    <cellStyle name="_Row7_SUMMARY_113 TM080709-05  Q209 BS NETTING USD" xfId="1210"/>
    <cellStyle name="_Row7_SUMMARY_120 TT080709-14 TAX JUN 09 V2" xfId="1211"/>
    <cellStyle name="_Row7_SUMMARY_17776 P&amp;L MAY-09" xfId="1212"/>
    <cellStyle name="_Row7_SUMMARY_Creditors" xfId="1213"/>
    <cellStyle name="_Row7_SUMMARY_Journal upload" xfId="1214"/>
    <cellStyle name="_Row7_Summary_Sheet1" xfId="1215"/>
    <cellStyle name="_Row7_Summary_Sheet1_120 TT080709-14 TAX JUN 09 V2" xfId="1216"/>
    <cellStyle name="_Row7_Summary_Sheet1_17776 P&amp;L MAY-09" xfId="1217"/>
    <cellStyle name="_Row7_SUMMARY_Sheet1_EUC" xfId="1218"/>
    <cellStyle name="_Row7_Summary_Sheet1_Sheet1" xfId="1219"/>
    <cellStyle name="_Row7_Time Charter Vessels WD3 (2)" xfId="1220"/>
    <cellStyle name="_Row7_TLNG (Adj Intra BU)" xfId="1221"/>
    <cellStyle name="_Row7_TLNG (Adj Intra BU)GM Act" xfId="1222"/>
    <cellStyle name="_Row7_Trader" xfId="1223"/>
    <cellStyle name="_Row7_YTD GM Sign Off &amp; Forecast" xfId="1224"/>
    <cellStyle name="_Row7_YTD GM Sign Off April v1" xfId="1225"/>
    <cellStyle name="_Row8" xfId="1226"/>
    <cellStyle name="_SAP 202005 download" xfId="1227"/>
    <cellStyle name="_SAP Corrections for LNG - August 2008" xfId="1228"/>
    <cellStyle name="_SDLNG - 51310" xfId="1229"/>
    <cellStyle name="_Sept 08 Crude " xfId="1230"/>
    <cellStyle name="_Sept 08 Products" xfId="1231"/>
    <cellStyle name="_Shareholder loans" xfId="1232"/>
    <cellStyle name="_Sheet1" xfId="1233"/>
    <cellStyle name="_Sheet1_030150OT" xfId="1234"/>
    <cellStyle name="_Sheet1_1" xfId="1235"/>
    <cellStyle name="_Sheet1_1_16238 Tax Computation Feb-09" xfId="1236"/>
    <cellStyle name="_Sheet1_1_16238 Trader Bonus Accrual Jan 09" xfId="1237"/>
    <cellStyle name="_Sheet1_1_401005012" xfId="1238"/>
    <cellStyle name="_Sheet1_1_Calculation" xfId="1239"/>
    <cellStyle name="_Sheet1_1_CREDITOR SPLIT" xfId="1240"/>
    <cellStyle name="_Sheet1_1_CREDITOR SUMMARY" xfId="1241"/>
    <cellStyle name="_Sheet1_1_Creditors Aug-08 v2" xfId="1242"/>
    <cellStyle name="_Sheet1_1_Creditors Jan-09" xfId="1243"/>
    <cellStyle name="_Sheet1_1_Creditors Nov-08" xfId="1244"/>
    <cellStyle name="_Sheet1_1_CREDITORS SEP 08" xfId="1245"/>
    <cellStyle name="_Sheet1_1_DEBTOR SPLIT" xfId="1246"/>
    <cellStyle name="_Sheet1_1_DEBTOR SUMMARY" xfId="1247"/>
    <cellStyle name="_Sheet1_1_Debtors Aug-08 v2" xfId="1248"/>
    <cellStyle name="_Sheet1_1_Debtors Jan-09" xfId="1249"/>
    <cellStyle name="_Sheet1_1_DEBTORS JUL 08" xfId="1250"/>
    <cellStyle name="_Sheet1_1_Debtors Nov-08" xfId="1251"/>
    <cellStyle name="_Sheet1_1_DEBTORS SEP 08" xfId="1252"/>
    <cellStyle name="_Sheet1_1_Dec-08" xfId="1253"/>
    <cellStyle name="_Sheet1_1_EUC Review Log" xfId="1254"/>
    <cellStyle name="_Sheet1_1_GTE retention update @310309" xfId="1255"/>
    <cellStyle name="_Sheet1_1_Invoice workings" xfId="1256"/>
    <cellStyle name="_Sheet1_1_Journal" xfId="1257"/>
    <cellStyle name="_Sheet1_1_SAP Corrections for LNG - August 2008" xfId="1258"/>
    <cellStyle name="_Sheet1_1_Sheet2" xfId="1259"/>
    <cellStyle name="_Sheet1_1_Sheet3" xfId="1260"/>
    <cellStyle name="_Sheet1_1_Sheet5" xfId="1261"/>
    <cellStyle name="_Sheet1_1_SPECIFIC ACTIONS" xfId="1262"/>
    <cellStyle name="_Sheet1_1_SUMMARY" xfId="1263"/>
    <cellStyle name="_Sheet1_16238 Tax Computation Feb-09" xfId="1264"/>
    <cellStyle name="_Sheet1_16238 Trader Bonus Accrual Jan 09" xfId="1265"/>
    <cellStyle name="_Sheet1_17776_18800_MAR09" xfId="1266"/>
    <cellStyle name="_Sheet1_2" xfId="1267"/>
    <cellStyle name="_Sheet1_3" xfId="1268"/>
    <cellStyle name="_Sheet1_3_GDLNG - 51310" xfId="1269"/>
    <cellStyle name="_Sheet1_3_SDLNG - 51310" xfId="1270"/>
    <cellStyle name="_Sheet1_3_SUMMARY" xfId="1271"/>
    <cellStyle name="_Sheet1_Calculation" xfId="1272"/>
    <cellStyle name="_Sheet1_CREDITOR SPLIT" xfId="1273"/>
    <cellStyle name="_Sheet1_CREDITOR SUMMARY" xfId="1274"/>
    <cellStyle name="_Sheet1_Creditors" xfId="1275"/>
    <cellStyle name="_Sheet1_Creditors Aug-08 v2" xfId="1276"/>
    <cellStyle name="_Sheet1_Creditors Jan-09" xfId="1277"/>
    <cellStyle name="_Sheet1_Creditors Nov-08" xfId="1278"/>
    <cellStyle name="_Sheet1_CREDITORS SEP 08" xfId="1279"/>
    <cellStyle name="_Sheet1_DEBTOR SPLIT" xfId="1280"/>
    <cellStyle name="_Sheet1_DEBTOR SUMMARY" xfId="1281"/>
    <cellStyle name="_Sheet1_Debtors" xfId="1282"/>
    <cellStyle name="_Sheet1_Debtors Aug-08 v2" xfId="1283"/>
    <cellStyle name="_Sheet1_Debtors Jan-09" xfId="1284"/>
    <cellStyle name="_Sheet1_DEBTORS JUL 08" xfId="1285"/>
    <cellStyle name="_Sheet1_Debtors Nov-08" xfId="1286"/>
    <cellStyle name="_Sheet1_DEBTORS SEP 08" xfId="1287"/>
    <cellStyle name="_Sheet1_EUC Review Log" xfId="1288"/>
    <cellStyle name="_Sheet1_FX revaluations - Feb-09" xfId="1289"/>
    <cellStyle name="_Sheet1_GL entries" xfId="1290"/>
    <cellStyle name="_Sheet1_Journal" xfId="1291"/>
    <cellStyle name="_Sheet1_Journal GBP" xfId="1292"/>
    <cellStyle name="_Sheet1_MAR-09 SUMMARY" xfId="1293"/>
    <cellStyle name="_Sheet1_MIMA accounts mappings" xfId="1294"/>
    <cellStyle name="_Sheet1_SAP Corrections for LNG - August 2008" xfId="1295"/>
    <cellStyle name="_Sheet1_Sheet1" xfId="1296"/>
    <cellStyle name="_Sheet1_Sheet2" xfId="1297"/>
    <cellStyle name="_Sheet1_SPECIFIC ACTIONS" xfId="1298"/>
    <cellStyle name="_Sheet1_Support" xfId="1299"/>
    <cellStyle name="_Sheet13" xfId="1300"/>
    <cellStyle name="_Sheet2" xfId="1301"/>
    <cellStyle name="_Sheet2_1" xfId="1302"/>
    <cellStyle name="_Sheet2_Sheet1" xfId="1303"/>
    <cellStyle name="_Sheet2_Sheet2" xfId="1304"/>
    <cellStyle name="_Sheet3" xfId="1305"/>
    <cellStyle name="_Sheet3_1" xfId="1306"/>
    <cellStyle name="_Sheet6" xfId="1307"/>
    <cellStyle name="_Sheet7" xfId="1308"/>
    <cellStyle name="_Skews" xfId="1309"/>
    <cellStyle name="_SPECIFIC ACTIONS" xfId="1310"/>
    <cellStyle name="_Stock DifferencesFinal" xfId="1311"/>
    <cellStyle name="_SUMMARY" xfId="1312"/>
    <cellStyle name="_SUMMARY_1" xfId="1313"/>
    <cellStyle name="_Support" xfId="1314"/>
    <cellStyle name="_TB" xfId="1315"/>
    <cellStyle name="_Tb Data (2)" xfId="1316"/>
    <cellStyle name="_TC template" xfId="1317"/>
    <cellStyle name="_Title" xfId="1318"/>
    <cellStyle name="_Trader Bonus Calc - Aug 07b" xfId="1319"/>
    <cellStyle name="_Trader Bonus Calc - Sep 07" xfId="1320"/>
    <cellStyle name="_Version 1" xfId="1321"/>
    <cellStyle name="_WTS Swap" xfId="1322"/>
    <cellStyle name="_YTD GM Sign Off April v1" xfId="1323"/>
    <cellStyle name="_YTD GM Sign Off May" xfId="1324"/>
    <cellStyle name="=C:\WINNT\SYSTEM32\COMMAND.COM" xfId="1325"/>
    <cellStyle name="=C:\WINNT35\SYSTEM32\COMMAND.COM" xfId="1326"/>
    <cellStyle name="1M" xfId="1327"/>
    <cellStyle name="20% - Accent1" xfId="1328"/>
    <cellStyle name="20% - Accent1 10" xfId="1329"/>
    <cellStyle name="20% - Accent1 11" xfId="1330"/>
    <cellStyle name="20% - Accent1 12" xfId="1331"/>
    <cellStyle name="20% - Accent1 2" xfId="1332"/>
    <cellStyle name="20% - Accent1 3" xfId="1333"/>
    <cellStyle name="20% - Accent1 4" xfId="1334"/>
    <cellStyle name="20% - Accent1 5" xfId="1335"/>
    <cellStyle name="20% - Accent1 6" xfId="1336"/>
    <cellStyle name="20% - Accent1 7" xfId="1337"/>
    <cellStyle name="20% - Accent1 8" xfId="1338"/>
    <cellStyle name="20% - Accent1 9" xfId="1339"/>
    <cellStyle name="20% - Accent2" xfId="1340"/>
    <cellStyle name="20% - Accent2 10" xfId="1341"/>
    <cellStyle name="20% - Accent2 11" xfId="1342"/>
    <cellStyle name="20% - Accent2 12" xfId="1343"/>
    <cellStyle name="20% - Accent2 2" xfId="1344"/>
    <cellStyle name="20% - Accent2 3" xfId="1345"/>
    <cellStyle name="20% - Accent2 4" xfId="1346"/>
    <cellStyle name="20% - Accent2 5" xfId="1347"/>
    <cellStyle name="20% - Accent2 6" xfId="1348"/>
    <cellStyle name="20% - Accent2 7" xfId="1349"/>
    <cellStyle name="20% - Accent2 8" xfId="1350"/>
    <cellStyle name="20% - Accent2 9" xfId="1351"/>
    <cellStyle name="20% - Accent3" xfId="1352"/>
    <cellStyle name="20% - Accent3 10" xfId="1353"/>
    <cellStyle name="20% - Accent3 11" xfId="1354"/>
    <cellStyle name="20% - Accent3 12" xfId="1355"/>
    <cellStyle name="20% - Accent3 2" xfId="1356"/>
    <cellStyle name="20% - Accent3 3" xfId="1357"/>
    <cellStyle name="20% - Accent3 4" xfId="1358"/>
    <cellStyle name="20% - Accent3 5" xfId="1359"/>
    <cellStyle name="20% - Accent3 6" xfId="1360"/>
    <cellStyle name="20% - Accent3 7" xfId="1361"/>
    <cellStyle name="20% - Accent3 8" xfId="1362"/>
    <cellStyle name="20% - Accent3 9" xfId="1363"/>
    <cellStyle name="20% - Accent4" xfId="1364"/>
    <cellStyle name="20% - Accent4 10" xfId="1365"/>
    <cellStyle name="20% - Accent4 11" xfId="1366"/>
    <cellStyle name="20% - Accent4 12" xfId="1367"/>
    <cellStyle name="20% - Accent4 2" xfId="1368"/>
    <cellStyle name="20% - Accent4 3" xfId="1369"/>
    <cellStyle name="20% - Accent4 4" xfId="1370"/>
    <cellStyle name="20% - Accent4 5" xfId="1371"/>
    <cellStyle name="20% - Accent4 6" xfId="1372"/>
    <cellStyle name="20% - Accent4 7" xfId="1373"/>
    <cellStyle name="20% - Accent4 8" xfId="1374"/>
    <cellStyle name="20% - Accent4 9" xfId="1375"/>
    <cellStyle name="20% - Accent5" xfId="1376"/>
    <cellStyle name="20% - Accent5 10" xfId="1377"/>
    <cellStyle name="20% - Accent5 11" xfId="1378"/>
    <cellStyle name="20% - Accent5 12" xfId="1379"/>
    <cellStyle name="20% - Accent5 2" xfId="1380"/>
    <cellStyle name="20% - Accent5 3" xfId="1381"/>
    <cellStyle name="20% - Accent5 4" xfId="1382"/>
    <cellStyle name="20% - Accent5 5" xfId="1383"/>
    <cellStyle name="20% - Accent5 6" xfId="1384"/>
    <cellStyle name="20% - Accent5 7" xfId="1385"/>
    <cellStyle name="20% - Accent5 8" xfId="1386"/>
    <cellStyle name="20% - Accent5 9" xfId="1387"/>
    <cellStyle name="20% - Accent6" xfId="1388"/>
    <cellStyle name="20% - Accent6 10" xfId="1389"/>
    <cellStyle name="20% - Accent6 11" xfId="1390"/>
    <cellStyle name="20% - Accent6 12" xfId="1391"/>
    <cellStyle name="20% - Accent6 2" xfId="1392"/>
    <cellStyle name="20% - Accent6 3" xfId="1393"/>
    <cellStyle name="20% - Accent6 4" xfId="1394"/>
    <cellStyle name="20% - Accent6 5" xfId="1395"/>
    <cellStyle name="20% - Accent6 6" xfId="1396"/>
    <cellStyle name="20% - Accent6 7" xfId="1397"/>
    <cellStyle name="20% - Accent6 8" xfId="1398"/>
    <cellStyle name="20% - Accent6 9" xfId="1399"/>
    <cellStyle name="20% - 强调文字颜色 1" xfId="1400"/>
    <cellStyle name="20% - 强调文字颜色 2" xfId="1401"/>
    <cellStyle name="20% - 强调文字颜色 3" xfId="1402"/>
    <cellStyle name="20% - 强调文字颜色 4" xfId="1403"/>
    <cellStyle name="20% - 强调文字颜色 5" xfId="1404"/>
    <cellStyle name="20% - 强调文字颜色 6" xfId="1405"/>
    <cellStyle name="2M" xfId="1406"/>
    <cellStyle name="3M" xfId="1407"/>
    <cellStyle name="40% - Accent1" xfId="1408"/>
    <cellStyle name="40% - Accent1 10" xfId="1409"/>
    <cellStyle name="40% - Accent1 11" xfId="1410"/>
    <cellStyle name="40% - Accent1 12" xfId="1411"/>
    <cellStyle name="40% - Accent1 2" xfId="1412"/>
    <cellStyle name="40% - Accent1 3" xfId="1413"/>
    <cellStyle name="40% - Accent1 4" xfId="1414"/>
    <cellStyle name="40% - Accent1 5" xfId="1415"/>
    <cellStyle name="40% - Accent1 6" xfId="1416"/>
    <cellStyle name="40% - Accent1 7" xfId="1417"/>
    <cellStyle name="40% - Accent1 8" xfId="1418"/>
    <cellStyle name="40% - Accent1 9" xfId="1419"/>
    <cellStyle name="40% - Accent2" xfId="1420"/>
    <cellStyle name="40% - Accent2 10" xfId="1421"/>
    <cellStyle name="40% - Accent2 11" xfId="1422"/>
    <cellStyle name="40% - Accent2 12" xfId="1423"/>
    <cellStyle name="40% - Accent2 2" xfId="1424"/>
    <cellStyle name="40% - Accent2 3" xfId="1425"/>
    <cellStyle name="40% - Accent2 4" xfId="1426"/>
    <cellStyle name="40% - Accent2 5" xfId="1427"/>
    <cellStyle name="40% - Accent2 6" xfId="1428"/>
    <cellStyle name="40% - Accent2 7" xfId="1429"/>
    <cellStyle name="40% - Accent2 8" xfId="1430"/>
    <cellStyle name="40% - Accent2 9" xfId="1431"/>
    <cellStyle name="40% - Accent3" xfId="1432"/>
    <cellStyle name="40% - Accent3 10" xfId="1433"/>
    <cellStyle name="40% - Accent3 11" xfId="1434"/>
    <cellStyle name="40% - Accent3 12" xfId="1435"/>
    <cellStyle name="40% - Accent3 2" xfId="1436"/>
    <cellStyle name="40% - Accent3 3" xfId="1437"/>
    <cellStyle name="40% - Accent3 4" xfId="1438"/>
    <cellStyle name="40% - Accent3 5" xfId="1439"/>
    <cellStyle name="40% - Accent3 6" xfId="1440"/>
    <cellStyle name="40% - Accent3 7" xfId="1441"/>
    <cellStyle name="40% - Accent3 8" xfId="1442"/>
    <cellStyle name="40% - Accent3 9" xfId="1443"/>
    <cellStyle name="40% - Accent4" xfId="1444"/>
    <cellStyle name="40% - Accent4 10" xfId="1445"/>
    <cellStyle name="40% - Accent4 11" xfId="1446"/>
    <cellStyle name="40% - Accent4 12" xfId="1447"/>
    <cellStyle name="40% - Accent4 2" xfId="1448"/>
    <cellStyle name="40% - Accent4 3" xfId="1449"/>
    <cellStyle name="40% - Accent4 4" xfId="1450"/>
    <cellStyle name="40% - Accent4 5" xfId="1451"/>
    <cellStyle name="40% - Accent4 6" xfId="1452"/>
    <cellStyle name="40% - Accent4 7" xfId="1453"/>
    <cellStyle name="40% - Accent4 8" xfId="1454"/>
    <cellStyle name="40% - Accent4 9" xfId="1455"/>
    <cellStyle name="40% - Accent5" xfId="1456"/>
    <cellStyle name="40% - Accent5 10" xfId="1457"/>
    <cellStyle name="40% - Accent5 11" xfId="1458"/>
    <cellStyle name="40% - Accent5 12" xfId="1459"/>
    <cellStyle name="40% - Accent5 2" xfId="1460"/>
    <cellStyle name="40% - Accent5 3" xfId="1461"/>
    <cellStyle name="40% - Accent5 4" xfId="1462"/>
    <cellStyle name="40% - Accent5 5" xfId="1463"/>
    <cellStyle name="40% - Accent5 6" xfId="1464"/>
    <cellStyle name="40% - Accent5 7" xfId="1465"/>
    <cellStyle name="40% - Accent5 8" xfId="1466"/>
    <cellStyle name="40% - Accent5 9" xfId="1467"/>
    <cellStyle name="40% - Accent6" xfId="1468"/>
    <cellStyle name="40% - Accent6 10" xfId="1469"/>
    <cellStyle name="40% - Accent6 11" xfId="1470"/>
    <cellStyle name="40% - Accent6 12" xfId="1471"/>
    <cellStyle name="40% - Accent6 2" xfId="1472"/>
    <cellStyle name="40% - Accent6 3" xfId="1473"/>
    <cellStyle name="40% - Accent6 4" xfId="1474"/>
    <cellStyle name="40% - Accent6 5" xfId="1475"/>
    <cellStyle name="40% - Accent6 6" xfId="1476"/>
    <cellStyle name="40% - Accent6 7" xfId="1477"/>
    <cellStyle name="40% - Accent6 8" xfId="1478"/>
    <cellStyle name="40% - Accent6 9" xfId="1479"/>
    <cellStyle name="40% - 强调文字颜色 1" xfId="1480"/>
    <cellStyle name="40% - 强调文字颜色 2" xfId="1481"/>
    <cellStyle name="40% - 强调文字颜色 3" xfId="1482"/>
    <cellStyle name="40% - 强调文字颜色 4" xfId="1483"/>
    <cellStyle name="40% - 强调文字颜色 5" xfId="1484"/>
    <cellStyle name="40% - 强调文字颜色 6" xfId="1485"/>
    <cellStyle name="4M" xfId="1486"/>
    <cellStyle name="60% - Accent1" xfId="1487"/>
    <cellStyle name="60% - Accent1 10" xfId="1488"/>
    <cellStyle name="60% - Accent1 11" xfId="1489"/>
    <cellStyle name="60% - Accent1 12" xfId="1490"/>
    <cellStyle name="60% - Accent1 2" xfId="1491"/>
    <cellStyle name="60% - Accent1 3" xfId="1492"/>
    <cellStyle name="60% - Accent1 4" xfId="1493"/>
    <cellStyle name="60% - Accent1 5" xfId="1494"/>
    <cellStyle name="60% - Accent1 6" xfId="1495"/>
    <cellStyle name="60% - Accent1 7" xfId="1496"/>
    <cellStyle name="60% - Accent1 8" xfId="1497"/>
    <cellStyle name="60% - Accent1 9" xfId="1498"/>
    <cellStyle name="60% - Accent2" xfId="1499"/>
    <cellStyle name="60% - Accent2 10" xfId="1500"/>
    <cellStyle name="60% - Accent2 11" xfId="1501"/>
    <cellStyle name="60% - Accent2 12" xfId="1502"/>
    <cellStyle name="60% - Accent2 2" xfId="1503"/>
    <cellStyle name="60% - Accent2 3" xfId="1504"/>
    <cellStyle name="60% - Accent2 4" xfId="1505"/>
    <cellStyle name="60% - Accent2 5" xfId="1506"/>
    <cellStyle name="60% - Accent2 6" xfId="1507"/>
    <cellStyle name="60% - Accent2 7" xfId="1508"/>
    <cellStyle name="60% - Accent2 8" xfId="1509"/>
    <cellStyle name="60% - Accent2 9" xfId="1510"/>
    <cellStyle name="60% - Accent3" xfId="1511"/>
    <cellStyle name="60% - Accent3 10" xfId="1512"/>
    <cellStyle name="60% - Accent3 11" xfId="1513"/>
    <cellStyle name="60% - Accent3 12" xfId="1514"/>
    <cellStyle name="60% - Accent3 2" xfId="1515"/>
    <cellStyle name="60% - Accent3 3" xfId="1516"/>
    <cellStyle name="60% - Accent3 4" xfId="1517"/>
    <cellStyle name="60% - Accent3 5" xfId="1518"/>
    <cellStyle name="60% - Accent3 6" xfId="1519"/>
    <cellStyle name="60% - Accent3 7" xfId="1520"/>
    <cellStyle name="60% - Accent3 8" xfId="1521"/>
    <cellStyle name="60% - Accent3 9" xfId="1522"/>
    <cellStyle name="60% - Accent4" xfId="1523"/>
    <cellStyle name="60% - Accent4 10" xfId="1524"/>
    <cellStyle name="60% - Accent4 11" xfId="1525"/>
    <cellStyle name="60% - Accent4 12" xfId="1526"/>
    <cellStyle name="60% - Accent4 2" xfId="1527"/>
    <cellStyle name="60% - Accent4 3" xfId="1528"/>
    <cellStyle name="60% - Accent4 4" xfId="1529"/>
    <cellStyle name="60% - Accent4 5" xfId="1530"/>
    <cellStyle name="60% - Accent4 6" xfId="1531"/>
    <cellStyle name="60% - Accent4 7" xfId="1532"/>
    <cellStyle name="60% - Accent4 8" xfId="1533"/>
    <cellStyle name="60% - Accent4 9" xfId="1534"/>
    <cellStyle name="60% - Accent5" xfId="1535"/>
    <cellStyle name="60% - Accent5 10" xfId="1536"/>
    <cellStyle name="60% - Accent5 11" xfId="1537"/>
    <cellStyle name="60% - Accent5 12" xfId="1538"/>
    <cellStyle name="60% - Accent5 2" xfId="1539"/>
    <cellStyle name="60% - Accent5 3" xfId="1540"/>
    <cellStyle name="60% - Accent5 4" xfId="1541"/>
    <cellStyle name="60% - Accent5 5" xfId="1542"/>
    <cellStyle name="60% - Accent5 6" xfId="1543"/>
    <cellStyle name="60% - Accent5 7" xfId="1544"/>
    <cellStyle name="60% - Accent5 8" xfId="1545"/>
    <cellStyle name="60% - Accent5 9" xfId="1546"/>
    <cellStyle name="60% - Accent6" xfId="1547"/>
    <cellStyle name="60% - Accent6 10" xfId="1548"/>
    <cellStyle name="60% - Accent6 11" xfId="1549"/>
    <cellStyle name="60% - Accent6 12" xfId="1550"/>
    <cellStyle name="60% - Accent6 2" xfId="1551"/>
    <cellStyle name="60% - Accent6 3" xfId="1552"/>
    <cellStyle name="60% - Accent6 4" xfId="1553"/>
    <cellStyle name="60% - Accent6 5" xfId="1554"/>
    <cellStyle name="60% - Accent6 6" xfId="1555"/>
    <cellStyle name="60% - Accent6 7" xfId="1556"/>
    <cellStyle name="60% - Accent6 8" xfId="1557"/>
    <cellStyle name="60% - Accent6 9" xfId="1558"/>
    <cellStyle name="60% - 强调文字颜色 1" xfId="1559"/>
    <cellStyle name="60% - 强调文字颜色 2" xfId="1560"/>
    <cellStyle name="60% - 强调文字颜色 3" xfId="1561"/>
    <cellStyle name="60% - 强调文字颜色 4" xfId="1562"/>
    <cellStyle name="60% - 强调文字颜色 5" xfId="1563"/>
    <cellStyle name="60% - 强调文字颜色 6" xfId="1564"/>
    <cellStyle name="94" xfId="1565"/>
    <cellStyle name="95" xfId="1566"/>
    <cellStyle name="a" xfId="1567"/>
    <cellStyle name="_x0007_Á" xfId="1568"/>
    <cellStyle name="A Big heading" xfId="1569"/>
    <cellStyle name="A body text" xfId="1570"/>
    <cellStyle name="A smaller heading" xfId="1571"/>
    <cellStyle name="Accent1" xfId="1572"/>
    <cellStyle name="Accent1 - 20%" xfId="1573"/>
    <cellStyle name="Accent1 - 40%" xfId="1574"/>
    <cellStyle name="Accent1 - 60%" xfId="1575"/>
    <cellStyle name="Accent1 10" xfId="1576"/>
    <cellStyle name="Accent1 11" xfId="1577"/>
    <cellStyle name="Accent1 12" xfId="1578"/>
    <cellStyle name="Accent1 2" xfId="1579"/>
    <cellStyle name="Accent1 3" xfId="1580"/>
    <cellStyle name="Accent1 4" xfId="1581"/>
    <cellStyle name="Accent1 5" xfId="1582"/>
    <cellStyle name="Accent1 6" xfId="1583"/>
    <cellStyle name="Accent1 7" xfId="1584"/>
    <cellStyle name="Accent1 8" xfId="1585"/>
    <cellStyle name="Accent1 9" xfId="1586"/>
    <cellStyle name="Accent2" xfId="1587"/>
    <cellStyle name="Accent2 - 20%" xfId="1588"/>
    <cellStyle name="Accent2 - 40%" xfId="1589"/>
    <cellStyle name="Accent2 - 60%" xfId="1590"/>
    <cellStyle name="Accent2 10" xfId="1591"/>
    <cellStyle name="Accent2 11" xfId="1592"/>
    <cellStyle name="Accent2 12" xfId="1593"/>
    <cellStyle name="Accent2 2" xfId="1594"/>
    <cellStyle name="Accent2 3" xfId="1595"/>
    <cellStyle name="Accent2 4" xfId="1596"/>
    <cellStyle name="Accent2 5" xfId="1597"/>
    <cellStyle name="Accent2 6" xfId="1598"/>
    <cellStyle name="Accent2 7" xfId="1599"/>
    <cellStyle name="Accent2 8" xfId="1600"/>
    <cellStyle name="Accent2 9" xfId="1601"/>
    <cellStyle name="Accent3" xfId="1602"/>
    <cellStyle name="Accent3 - 20%" xfId="1603"/>
    <cellStyle name="Accent3 - 40%" xfId="1604"/>
    <cellStyle name="Accent3 - 60%" xfId="1605"/>
    <cellStyle name="Accent3 10" xfId="1606"/>
    <cellStyle name="Accent3 11" xfId="1607"/>
    <cellStyle name="Accent3 12" xfId="1608"/>
    <cellStyle name="Accent3 2" xfId="1609"/>
    <cellStyle name="Accent3 3" xfId="1610"/>
    <cellStyle name="Accent3 4" xfId="1611"/>
    <cellStyle name="Accent3 5" xfId="1612"/>
    <cellStyle name="Accent3 6" xfId="1613"/>
    <cellStyle name="Accent3 7" xfId="1614"/>
    <cellStyle name="Accent3 8" xfId="1615"/>
    <cellStyle name="Accent3 9" xfId="1616"/>
    <cellStyle name="Accent4" xfId="1617"/>
    <cellStyle name="Accent4 - 20%" xfId="1618"/>
    <cellStyle name="Accent4 - 40%" xfId="1619"/>
    <cellStyle name="Accent4 - 60%" xfId="1620"/>
    <cellStyle name="Accent4 10" xfId="1621"/>
    <cellStyle name="Accent4 11" xfId="1622"/>
    <cellStyle name="Accent4 12" xfId="1623"/>
    <cellStyle name="Accent4 2" xfId="1624"/>
    <cellStyle name="Accent4 3" xfId="1625"/>
    <cellStyle name="Accent4 4" xfId="1626"/>
    <cellStyle name="Accent4 5" xfId="1627"/>
    <cellStyle name="Accent4 6" xfId="1628"/>
    <cellStyle name="Accent4 7" xfId="1629"/>
    <cellStyle name="Accent4 8" xfId="1630"/>
    <cellStyle name="Accent4 9" xfId="1631"/>
    <cellStyle name="Accent5" xfId="1632"/>
    <cellStyle name="Accent5 - 20%" xfId="1633"/>
    <cellStyle name="Accent5 - 40%" xfId="1634"/>
    <cellStyle name="Accent5 - 60%" xfId="1635"/>
    <cellStyle name="Accent5 10" xfId="1636"/>
    <cellStyle name="Accent5 11" xfId="1637"/>
    <cellStyle name="Accent5 12" xfId="1638"/>
    <cellStyle name="Accent5 2" xfId="1639"/>
    <cellStyle name="Accent5 3" xfId="1640"/>
    <cellStyle name="Accent5 4" xfId="1641"/>
    <cellStyle name="Accent5 5" xfId="1642"/>
    <cellStyle name="Accent5 6" xfId="1643"/>
    <cellStyle name="Accent5 7" xfId="1644"/>
    <cellStyle name="Accent5 8" xfId="1645"/>
    <cellStyle name="Accent5 9" xfId="1646"/>
    <cellStyle name="Accent6" xfId="1647"/>
    <cellStyle name="Accent6 - 20%" xfId="1648"/>
    <cellStyle name="Accent6 - 40%" xfId="1649"/>
    <cellStyle name="Accent6 - 60%" xfId="1650"/>
    <cellStyle name="Accent6 10" xfId="1651"/>
    <cellStyle name="Accent6 11" xfId="1652"/>
    <cellStyle name="Accent6 12" xfId="1653"/>
    <cellStyle name="Accent6 2" xfId="1654"/>
    <cellStyle name="Accent6 3" xfId="1655"/>
    <cellStyle name="Accent6 4" xfId="1656"/>
    <cellStyle name="Accent6 5" xfId="1657"/>
    <cellStyle name="Accent6 6" xfId="1658"/>
    <cellStyle name="Accent6 7" xfId="1659"/>
    <cellStyle name="Accent6 8" xfId="1660"/>
    <cellStyle name="Accent6 9" xfId="1661"/>
    <cellStyle name="ales" xfId="1662"/>
    <cellStyle name="analysis" xfId="1663"/>
    <cellStyle name="ariel" xfId="1664"/>
    <cellStyle name="AsandOnes" xfId="1665"/>
    <cellStyle name="b᥼®įbᦔ®Ŀbᦨ®_x000F_bᣈ®ŏbᩘ®" xfId="1666"/>
    <cellStyle name="background" xfId="1667"/>
    <cellStyle name="Bad" xfId="1668"/>
    <cellStyle name="Bad 10" xfId="1669"/>
    <cellStyle name="Bad 11" xfId="1670"/>
    <cellStyle name="Bad 12" xfId="1671"/>
    <cellStyle name="Bad 2" xfId="1672"/>
    <cellStyle name="Bad 3" xfId="1673"/>
    <cellStyle name="Bad 4" xfId="1674"/>
    <cellStyle name="Bad 5" xfId="1675"/>
    <cellStyle name="Bad 6" xfId="1676"/>
    <cellStyle name="Bad 7" xfId="1677"/>
    <cellStyle name="Bad 8" xfId="1678"/>
    <cellStyle name="Bad 9" xfId="1679"/>
    <cellStyle name="bold big" xfId="1680"/>
    <cellStyle name="bold bot bord" xfId="1681"/>
    <cellStyle name="bold underline" xfId="1682"/>
    <cellStyle name="Border" xfId="1683"/>
    <cellStyle name="Border Bottom Thick" xfId="1684"/>
    <cellStyle name="Border Top Thin" xfId="1685"/>
    <cellStyle name="box" xfId="1686"/>
    <cellStyle name="boxed" xfId="1687"/>
    <cellStyle name="boxed-colmhead" xfId="1688"/>
    <cellStyle name="Calc Currency (0)" xfId="1689"/>
    <cellStyle name="Calc0" xfId="1690"/>
    <cellStyle name="Calculation" xfId="1691"/>
    <cellStyle name="Calculation 10" xfId="1692"/>
    <cellStyle name="Calculation 11" xfId="1693"/>
    <cellStyle name="Calculation 12" xfId="1694"/>
    <cellStyle name="Calculation 2" xfId="1695"/>
    <cellStyle name="Calculation 3" xfId="1696"/>
    <cellStyle name="Calculation 4" xfId="1697"/>
    <cellStyle name="Calculation 5" xfId="1698"/>
    <cellStyle name="Calculation 6" xfId="1699"/>
    <cellStyle name="Calculation 7" xfId="1700"/>
    <cellStyle name="Calculation 8" xfId="1701"/>
    <cellStyle name="Calculation 9" xfId="1702"/>
    <cellStyle name="Cash (0)" xfId="1703"/>
    <cellStyle name="centre" xfId="1704"/>
    <cellStyle name="Check Cell" xfId="1705"/>
    <cellStyle name="Check Cell 10" xfId="1706"/>
    <cellStyle name="Check Cell 11" xfId="1707"/>
    <cellStyle name="Check Cell 12" xfId="1708"/>
    <cellStyle name="Check Cell 2" xfId="1709"/>
    <cellStyle name="Check Cell 3" xfId="1710"/>
    <cellStyle name="Check Cell 4" xfId="1711"/>
    <cellStyle name="Check Cell 5" xfId="1712"/>
    <cellStyle name="Check Cell 6" xfId="1713"/>
    <cellStyle name="Check Cell 7" xfId="1714"/>
    <cellStyle name="Check Cell 8" xfId="1715"/>
    <cellStyle name="Check Cell 9" xfId="1716"/>
    <cellStyle name="Code" xfId="1717"/>
    <cellStyle name="Code Section" xfId="1718"/>
    <cellStyle name="Colhead_left" xfId="1719"/>
    <cellStyle name="colheadleft" xfId="1720"/>
    <cellStyle name="colheadright" xfId="1721"/>
    <cellStyle name="Column heading" xfId="1722"/>
    <cellStyle name="columnheads" xfId="1723"/>
    <cellStyle name="Comma" xfId="1724"/>
    <cellStyle name="Comma  - Style1" xfId="1725"/>
    <cellStyle name="Comma  - Style2" xfId="1726"/>
    <cellStyle name="Comma  - Style3" xfId="1727"/>
    <cellStyle name="Comma  - Style4" xfId="1728"/>
    <cellStyle name="Comma  - Style5" xfId="1729"/>
    <cellStyle name="Comma  - Style6" xfId="1730"/>
    <cellStyle name="Comma  - Style7" xfId="1731"/>
    <cellStyle name="Comma  - Style8" xfId="1732"/>
    <cellStyle name="Comma  - ｽﾀｲﾙ1" xfId="1733"/>
    <cellStyle name="Comma  - ｽﾀｲﾙ2" xfId="1734"/>
    <cellStyle name="Comma  - ｽﾀｲﾙ3" xfId="1735"/>
    <cellStyle name="Comma  - ｽﾀｲﾙ4" xfId="1736"/>
    <cellStyle name="Comma  - ｽﾀｲﾙ5" xfId="1737"/>
    <cellStyle name="Comma  - ｽﾀｲﾙ6" xfId="1738"/>
    <cellStyle name="Comma  - ｽﾀｲﾙ7" xfId="1739"/>
    <cellStyle name="Comma  - ｽﾀｲﾙ8" xfId="1740"/>
    <cellStyle name="Comma [0]" xfId="1741"/>
    <cellStyle name="Comma 0" xfId="1742"/>
    <cellStyle name="Comma 10" xfId="1743"/>
    <cellStyle name="Comma 10 2" xfId="1744"/>
    <cellStyle name="Comma 2" xfId="1745"/>
    <cellStyle name="Comma 3" xfId="1746"/>
    <cellStyle name="Comma 4" xfId="1747"/>
    <cellStyle name="Comma 5" xfId="1748"/>
    <cellStyle name="Comma 5 2" xfId="1749"/>
    <cellStyle name="Comma 6" xfId="1750"/>
    <cellStyle name="Comma 7" xfId="1751"/>
    <cellStyle name="Comma 8" xfId="1752"/>
    <cellStyle name="Comma 9" xfId="1753"/>
    <cellStyle name="Comma 9 2" xfId="1754"/>
    <cellStyle name="Comma0" xfId="1755"/>
    <cellStyle name="Currency" xfId="1756"/>
    <cellStyle name="Currency [0]" xfId="1757"/>
    <cellStyle name="Currency 0" xfId="1758"/>
    <cellStyle name="Currency 2" xfId="1759"/>
    <cellStyle name="Currency 2 2" xfId="1760"/>
    <cellStyle name="Currency 2 2 10" xfId="1761"/>
    <cellStyle name="Currency 2 3" xfId="1762"/>
    <cellStyle name="Currency 3" xfId="1763"/>
    <cellStyle name="Currency 4" xfId="1764"/>
    <cellStyle name="Currency0" xfId="1765"/>
    <cellStyle name="Date" xfId="1766"/>
    <cellStyle name="Date Aligned" xfId="1767"/>
    <cellStyle name="dd/mm/yy" xfId="1768"/>
    <cellStyle name="Del Month" xfId="1769"/>
    <cellStyle name="delete" xfId="1770"/>
    <cellStyle name="Delta" xfId="1771"/>
    <cellStyle name="detail" xfId="1772"/>
    <cellStyle name="Dezimal [0]_C1PROEBIDTA" xfId="1773"/>
    <cellStyle name="Dezimal_C1PROEBIDTA" xfId="1774"/>
    <cellStyle name="direct" xfId="1775"/>
    <cellStyle name="Dotted Line" xfId="1776"/>
    <cellStyle name="Driver" xfId="1777"/>
    <cellStyle name="Emphasis 1" xfId="1778"/>
    <cellStyle name="Emphasis 2" xfId="1779"/>
    <cellStyle name="Emphasis 3" xfId="1780"/>
    <cellStyle name="Euro" xfId="1781"/>
    <cellStyle name="ex_ledger" xfId="1782"/>
    <cellStyle name="Explanatory Text" xfId="1783"/>
    <cellStyle name="Explanatory Text 10" xfId="1784"/>
    <cellStyle name="Explanatory Text 11" xfId="1785"/>
    <cellStyle name="Explanatory Text 12" xfId="1786"/>
    <cellStyle name="Explanatory Text 2" xfId="1787"/>
    <cellStyle name="Explanatory Text 3" xfId="1788"/>
    <cellStyle name="Explanatory Text 4" xfId="1789"/>
    <cellStyle name="Explanatory Text 5" xfId="1790"/>
    <cellStyle name="Explanatory Text 6" xfId="1791"/>
    <cellStyle name="Explanatory Text 7" xfId="1792"/>
    <cellStyle name="Explanatory Text 8" xfId="1793"/>
    <cellStyle name="Explanatory Text 9" xfId="1794"/>
    <cellStyle name="EYBlocked" xfId="1795"/>
    <cellStyle name="EYCallUp" xfId="1796"/>
    <cellStyle name="EYCheck" xfId="1797"/>
    <cellStyle name="EYDate" xfId="1798"/>
    <cellStyle name="EYDeviant" xfId="1799"/>
    <cellStyle name="EYHeader1" xfId="1800"/>
    <cellStyle name="EYHeader2" xfId="1801"/>
    <cellStyle name="EYHeader3" xfId="1802"/>
    <cellStyle name="EYInputDate" xfId="1803"/>
    <cellStyle name="EYInputPercent" xfId="1804"/>
    <cellStyle name="EYInputValue" xfId="1805"/>
    <cellStyle name="EYNormal" xfId="1806"/>
    <cellStyle name="EYPercent" xfId="1807"/>
    <cellStyle name="EYPercentCapped" xfId="1808"/>
    <cellStyle name="EYSubTotal" xfId="1809"/>
    <cellStyle name="EYTotal" xfId="1810"/>
    <cellStyle name="EYWIP" xfId="1811"/>
    <cellStyle name="Fixed" xfId="1812"/>
    <cellStyle name="FN" xfId="1813"/>
    <cellStyle name="Followed Hyperlink" xfId="1814"/>
    <cellStyle name="Footnote" xfId="1815"/>
    <cellStyle name="form" xfId="1816"/>
    <cellStyle name="General" xfId="1817"/>
    <cellStyle name="Good" xfId="1818"/>
    <cellStyle name="Good 10" xfId="1819"/>
    <cellStyle name="Good 11" xfId="1820"/>
    <cellStyle name="Good 12" xfId="1821"/>
    <cellStyle name="Good 2" xfId="1822"/>
    <cellStyle name="Good 3" xfId="1823"/>
    <cellStyle name="Good 4" xfId="1824"/>
    <cellStyle name="Good 5" xfId="1825"/>
    <cellStyle name="Good 6" xfId="1826"/>
    <cellStyle name="Good 7" xfId="1827"/>
    <cellStyle name="Good 8" xfId="1828"/>
    <cellStyle name="Good 9" xfId="1829"/>
    <cellStyle name="Green" xfId="1830"/>
    <cellStyle name="Grey" xfId="1831"/>
    <cellStyle name="H_1998_col_head" xfId="1832"/>
    <cellStyle name="H_1998_col_head_New_Markets_BUConsolidator_v1_06" xfId="1833"/>
    <cellStyle name="Hard Percent" xfId="1834"/>
    <cellStyle name="HC" xfId="1835"/>
    <cellStyle name="head1" xfId="1836"/>
    <cellStyle name="head2" xfId="1837"/>
    <cellStyle name="Header" xfId="1838"/>
    <cellStyle name="Header1" xfId="1839"/>
    <cellStyle name="Header2" xfId="1840"/>
    <cellStyle name="Heading 1" xfId="1841"/>
    <cellStyle name="Heading 1 10" xfId="1842"/>
    <cellStyle name="Heading 1 11" xfId="1843"/>
    <cellStyle name="Heading 1 12" xfId="1844"/>
    <cellStyle name="Heading 1 2" xfId="1845"/>
    <cellStyle name="Heading 1 3" xfId="1846"/>
    <cellStyle name="Heading 1 4" xfId="1847"/>
    <cellStyle name="Heading 1 5" xfId="1848"/>
    <cellStyle name="Heading 1 6" xfId="1849"/>
    <cellStyle name="Heading 1 7" xfId="1850"/>
    <cellStyle name="Heading 1 8" xfId="1851"/>
    <cellStyle name="Heading 1 9" xfId="1852"/>
    <cellStyle name="Heading 2" xfId="1853"/>
    <cellStyle name="Heading 2 10" xfId="1854"/>
    <cellStyle name="Heading 2 11" xfId="1855"/>
    <cellStyle name="Heading 2 12" xfId="1856"/>
    <cellStyle name="Heading 2 2" xfId="1857"/>
    <cellStyle name="Heading 2 3" xfId="1858"/>
    <cellStyle name="Heading 2 4" xfId="1859"/>
    <cellStyle name="Heading 2 5" xfId="1860"/>
    <cellStyle name="Heading 2 6" xfId="1861"/>
    <cellStyle name="Heading 2 7" xfId="1862"/>
    <cellStyle name="Heading 2 8" xfId="1863"/>
    <cellStyle name="Heading 2 9" xfId="1864"/>
    <cellStyle name="Heading 3" xfId="1865"/>
    <cellStyle name="Heading 3 10" xfId="1866"/>
    <cellStyle name="Heading 3 11" xfId="1867"/>
    <cellStyle name="Heading 3 12" xfId="1868"/>
    <cellStyle name="Heading 3 2" xfId="1869"/>
    <cellStyle name="Heading 3 3" xfId="1870"/>
    <cellStyle name="Heading 3 4" xfId="1871"/>
    <cellStyle name="Heading 3 5" xfId="1872"/>
    <cellStyle name="Heading 3 6" xfId="1873"/>
    <cellStyle name="Heading 3 7" xfId="1874"/>
    <cellStyle name="Heading 3 8" xfId="1875"/>
    <cellStyle name="Heading 3 9" xfId="1876"/>
    <cellStyle name="Heading 4" xfId="1877"/>
    <cellStyle name="Heading 4 10" xfId="1878"/>
    <cellStyle name="Heading 4 11" xfId="1879"/>
    <cellStyle name="Heading 4 12" xfId="1880"/>
    <cellStyle name="Heading 4 2" xfId="1881"/>
    <cellStyle name="Heading 4 3" xfId="1882"/>
    <cellStyle name="Heading 4 4" xfId="1883"/>
    <cellStyle name="Heading 4 5" xfId="1884"/>
    <cellStyle name="Heading 4 6" xfId="1885"/>
    <cellStyle name="Heading 4 7" xfId="1886"/>
    <cellStyle name="Heading 4 8" xfId="1887"/>
    <cellStyle name="Heading 4 9" xfId="1888"/>
    <cellStyle name="Heading3" xfId="1889"/>
    <cellStyle name="Helv 10 Bold" xfId="1890"/>
    <cellStyle name="Helv 12 Bold" xfId="1891"/>
    <cellStyle name="herwood" xfId="1892"/>
    <cellStyle name="highlighted" xfId="1893"/>
    <cellStyle name="Hyperlink" xfId="1894"/>
    <cellStyle name="Input" xfId="1895"/>
    <cellStyle name="Input #,##0" xfId="1896"/>
    <cellStyle name="Input [yellow]" xfId="1897"/>
    <cellStyle name="Input 10" xfId="1898"/>
    <cellStyle name="Input 11" xfId="1899"/>
    <cellStyle name="Input 12" xfId="1900"/>
    <cellStyle name="Input 2" xfId="1901"/>
    <cellStyle name="Input 3" xfId="1902"/>
    <cellStyle name="Input 4" xfId="1903"/>
    <cellStyle name="Input 5" xfId="1904"/>
    <cellStyle name="Input 6" xfId="1905"/>
    <cellStyle name="Input 7" xfId="1906"/>
    <cellStyle name="Input 8" xfId="1907"/>
    <cellStyle name="Input 9" xfId="1908"/>
    <cellStyle name="Input Process" xfId="1909"/>
    <cellStyle name="joy" xfId="1910"/>
    <cellStyle name="Jump" xfId="1911"/>
    <cellStyle name="Lien hypertexte" xfId="1912"/>
    <cellStyle name="Lien hypertexte visité" xfId="1913"/>
    <cellStyle name="Linked Cell" xfId="1914"/>
    <cellStyle name="Linked Cell 10" xfId="1915"/>
    <cellStyle name="Linked Cell 11" xfId="1916"/>
    <cellStyle name="Linked Cell 12" xfId="1917"/>
    <cellStyle name="Linked Cell 2" xfId="1918"/>
    <cellStyle name="Linked Cell 3" xfId="1919"/>
    <cellStyle name="Linked Cell 4" xfId="1920"/>
    <cellStyle name="Linked Cell 5" xfId="1921"/>
    <cellStyle name="Linked Cell 6" xfId="1922"/>
    <cellStyle name="Linked Cell 7" xfId="1923"/>
    <cellStyle name="Linked Cell 8" xfId="1924"/>
    <cellStyle name="Linked Cell 9" xfId="1925"/>
    <cellStyle name="List" xfId="1926"/>
    <cellStyle name="locked" xfId="1927"/>
    <cellStyle name="Main heading" xfId="1928"/>
    <cellStyle name="message" xfId="1929"/>
    <cellStyle name="Millares_Hoja1" xfId="1930"/>
    <cellStyle name="Milliers [0]_CD POST (2)" xfId="1931"/>
    <cellStyle name="Milliers_CD POST (2)" xfId="1932"/>
    <cellStyle name="mmm yy" xfId="1933"/>
    <cellStyle name="Model_Calculation" xfId="1934"/>
    <cellStyle name="Moneda [0]_VERA" xfId="1935"/>
    <cellStyle name="Moneda_VERA" xfId="1936"/>
    <cellStyle name="Monétaire [0]_ExoGBPbox" xfId="1937"/>
    <cellStyle name="Monétaire_ExoGBPbox" xfId="1938"/>
    <cellStyle name="Multiple" xfId="1939"/>
    <cellStyle name="Neutral" xfId="1940"/>
    <cellStyle name="Neutral 10" xfId="1941"/>
    <cellStyle name="Neutral 11" xfId="1942"/>
    <cellStyle name="Neutral 12" xfId="1943"/>
    <cellStyle name="Neutral 2" xfId="1944"/>
    <cellStyle name="Neutral 3" xfId="1945"/>
    <cellStyle name="Neutral 4" xfId="1946"/>
    <cellStyle name="Neutral 5" xfId="1947"/>
    <cellStyle name="Neutral 6" xfId="1948"/>
    <cellStyle name="Neutral 7" xfId="1949"/>
    <cellStyle name="Neutral 8" xfId="1950"/>
    <cellStyle name="Neutral 9" xfId="1951"/>
    <cellStyle name="Normal - Style1" xfId="1952"/>
    <cellStyle name="Normal 10" xfId="1953"/>
    <cellStyle name="Normal 11" xfId="1954"/>
    <cellStyle name="Normal 12" xfId="1955"/>
    <cellStyle name="Normal 15 2" xfId="1956"/>
    <cellStyle name="Normal 2" xfId="1957"/>
    <cellStyle name="Normal 2 10 2" xfId="1958"/>
    <cellStyle name="Normal 2 2" xfId="1959"/>
    <cellStyle name="Normal 2 2 2" xfId="1960"/>
    <cellStyle name="Normal 2 3" xfId="1961"/>
    <cellStyle name="Normal 3" xfId="1962"/>
    <cellStyle name="Normal 34" xfId="1963"/>
    <cellStyle name="Normal 4" xfId="1964"/>
    <cellStyle name="Normal 5" xfId="1965"/>
    <cellStyle name="Normal 6" xfId="1966"/>
    <cellStyle name="Normal 7" xfId="1967"/>
    <cellStyle name="Normal 8" xfId="1968"/>
    <cellStyle name="Normal 9" xfId="1969"/>
    <cellStyle name="Normal A" xfId="1970"/>
    <cellStyle name="Normal E" xfId="1971"/>
    <cellStyle name="Normal00" xfId="1972"/>
    <cellStyle name="Normal1" xfId="1973"/>
    <cellStyle name="NormalE" xfId="1974"/>
    <cellStyle name="Note" xfId="1975"/>
    <cellStyle name="Note 10" xfId="1976"/>
    <cellStyle name="Note 11" xfId="1977"/>
    <cellStyle name="Note 12" xfId="1978"/>
    <cellStyle name="Note 2" xfId="1979"/>
    <cellStyle name="Note 3" xfId="1980"/>
    <cellStyle name="Note 4" xfId="1981"/>
    <cellStyle name="Note 5" xfId="1982"/>
    <cellStyle name="Note 6" xfId="1983"/>
    <cellStyle name="Note 7" xfId="1984"/>
    <cellStyle name="Note 8" xfId="1985"/>
    <cellStyle name="Note 9" xfId="1986"/>
    <cellStyle name="numcalc" xfId="1987"/>
    <cellStyle name="numinp" xfId="1988"/>
    <cellStyle name="Output" xfId="1989"/>
    <cellStyle name="Output 10" xfId="1990"/>
    <cellStyle name="Output 11" xfId="1991"/>
    <cellStyle name="Output 12" xfId="1992"/>
    <cellStyle name="Output 2" xfId="1993"/>
    <cellStyle name="Output 3" xfId="1994"/>
    <cellStyle name="Output 4" xfId="1995"/>
    <cellStyle name="Output 5" xfId="1996"/>
    <cellStyle name="Output 6" xfId="1997"/>
    <cellStyle name="Output 7" xfId="1998"/>
    <cellStyle name="Output 8" xfId="1999"/>
    <cellStyle name="Output 9" xfId="2000"/>
    <cellStyle name="Output Amounts" xfId="2001"/>
    <cellStyle name="Output Column Headings" xfId="2002"/>
    <cellStyle name="Output Line Items" xfId="2003"/>
    <cellStyle name="Output Report Heading" xfId="2004"/>
    <cellStyle name="Output Report Title" xfId="2005"/>
    <cellStyle name="Page Number" xfId="2006"/>
    <cellStyle name="page_title" xfId="2007"/>
    <cellStyle name="patterns" xfId="2008"/>
    <cellStyle name="Percal" xfId="2009"/>
    <cellStyle name="Percent" xfId="2010"/>
    <cellStyle name="Percent [2]" xfId="2011"/>
    <cellStyle name="Percent 10" xfId="2012"/>
    <cellStyle name="Percent 2" xfId="2013"/>
    <cellStyle name="Percent-0.0%" xfId="2014"/>
    <cellStyle name="Percent-no dec" xfId="2015"/>
    <cellStyle name="Perinp" xfId="2016"/>
    <cellStyle name="Plan" xfId="2017"/>
    <cellStyle name="Previous" xfId="2018"/>
    <cellStyle name="prices" xfId="2019"/>
    <cellStyle name="Protected" xfId="2020"/>
    <cellStyle name="PSChar" xfId="2021"/>
    <cellStyle name="PSDate" xfId="2022"/>
    <cellStyle name="PSDec" xfId="2023"/>
    <cellStyle name="PSHeading" xfId="2024"/>
    <cellStyle name="PSInt" xfId="2025"/>
    <cellStyle name="PSSpacer" xfId="2026"/>
    <cellStyle name="Red" xfId="2027"/>
    <cellStyle name="Relative Reference" xfId="2028"/>
    <cellStyle name="Right" xfId="2029"/>
    <cellStyle name="SAPBEXaggData" xfId="2030"/>
    <cellStyle name="SAPBEXaggData 10" xfId="2031"/>
    <cellStyle name="SAPBEXaggData 2" xfId="2032"/>
    <cellStyle name="SAPBEXaggData 3" xfId="2033"/>
    <cellStyle name="SAPBEXaggData 4" xfId="2034"/>
    <cellStyle name="SAPBEXaggData 5" xfId="2035"/>
    <cellStyle name="SAPBEXaggData 6" xfId="2036"/>
    <cellStyle name="SAPBEXaggData 7" xfId="2037"/>
    <cellStyle name="SAPBEXaggData 8" xfId="2038"/>
    <cellStyle name="SAPBEXaggData 9" xfId="2039"/>
    <cellStyle name="SAPBEXaggDataEmph" xfId="2040"/>
    <cellStyle name="SAPBEXaggDataEmph 10" xfId="2041"/>
    <cellStyle name="SAPBEXaggDataEmph 2" xfId="2042"/>
    <cellStyle name="SAPBEXaggDataEmph 3" xfId="2043"/>
    <cellStyle name="SAPBEXaggDataEmph 4" xfId="2044"/>
    <cellStyle name="SAPBEXaggDataEmph 5" xfId="2045"/>
    <cellStyle name="SAPBEXaggDataEmph 6" xfId="2046"/>
    <cellStyle name="SAPBEXaggDataEmph 7" xfId="2047"/>
    <cellStyle name="SAPBEXaggDataEmph 8" xfId="2048"/>
    <cellStyle name="SAPBEXaggDataEmph 9" xfId="2049"/>
    <cellStyle name="SAPBEXaggItem" xfId="2050"/>
    <cellStyle name="SAPBEXaggItem 10" xfId="2051"/>
    <cellStyle name="SAPBEXaggItem 2" xfId="2052"/>
    <cellStyle name="SAPBEXaggItem 3" xfId="2053"/>
    <cellStyle name="SAPBEXaggItem 4" xfId="2054"/>
    <cellStyle name="SAPBEXaggItem 5" xfId="2055"/>
    <cellStyle name="SAPBEXaggItem 6" xfId="2056"/>
    <cellStyle name="SAPBEXaggItem 7" xfId="2057"/>
    <cellStyle name="SAPBEXaggItem 8" xfId="2058"/>
    <cellStyle name="SAPBEXaggItem 9" xfId="2059"/>
    <cellStyle name="SAPBEXaggItemX" xfId="2060"/>
    <cellStyle name="SAPBEXaggItemX 10" xfId="2061"/>
    <cellStyle name="SAPBEXaggItemX 2" xfId="2062"/>
    <cellStyle name="SAPBEXaggItemX 3" xfId="2063"/>
    <cellStyle name="SAPBEXaggItemX 4" xfId="2064"/>
    <cellStyle name="SAPBEXaggItemX 5" xfId="2065"/>
    <cellStyle name="SAPBEXaggItemX 6" xfId="2066"/>
    <cellStyle name="SAPBEXaggItemX 7" xfId="2067"/>
    <cellStyle name="SAPBEXaggItemX 8" xfId="2068"/>
    <cellStyle name="SAPBEXaggItemX 9" xfId="2069"/>
    <cellStyle name="SAPBEXchaText" xfId="2070"/>
    <cellStyle name="SAPBEXchaText 10" xfId="2071"/>
    <cellStyle name="SAPBEXchaText 2" xfId="2072"/>
    <cellStyle name="SAPBEXchaText 3" xfId="2073"/>
    <cellStyle name="SAPBEXchaText 4" xfId="2074"/>
    <cellStyle name="SAPBEXchaText 5" xfId="2075"/>
    <cellStyle name="SAPBEXchaText 6" xfId="2076"/>
    <cellStyle name="SAPBEXchaText 7" xfId="2077"/>
    <cellStyle name="SAPBEXchaText 8" xfId="2078"/>
    <cellStyle name="SAPBEXchaText 9" xfId="2079"/>
    <cellStyle name="SAPBEXexcBad7" xfId="2080"/>
    <cellStyle name="SAPBEXexcBad7 10" xfId="2081"/>
    <cellStyle name="SAPBEXexcBad7 2" xfId="2082"/>
    <cellStyle name="SAPBEXexcBad7 3" xfId="2083"/>
    <cellStyle name="SAPBEXexcBad7 4" xfId="2084"/>
    <cellStyle name="SAPBEXexcBad7 5" xfId="2085"/>
    <cellStyle name="SAPBEXexcBad7 6" xfId="2086"/>
    <cellStyle name="SAPBEXexcBad7 7" xfId="2087"/>
    <cellStyle name="SAPBEXexcBad7 8" xfId="2088"/>
    <cellStyle name="SAPBEXexcBad7 9" xfId="2089"/>
    <cellStyle name="SAPBEXexcBad8" xfId="2090"/>
    <cellStyle name="SAPBEXexcBad8 10" xfId="2091"/>
    <cellStyle name="SAPBEXexcBad8 2" xfId="2092"/>
    <cellStyle name="SAPBEXexcBad8 3" xfId="2093"/>
    <cellStyle name="SAPBEXexcBad8 4" xfId="2094"/>
    <cellStyle name="SAPBEXexcBad8 5" xfId="2095"/>
    <cellStyle name="SAPBEXexcBad8 6" xfId="2096"/>
    <cellStyle name="SAPBEXexcBad8 7" xfId="2097"/>
    <cellStyle name="SAPBEXexcBad8 8" xfId="2098"/>
    <cellStyle name="SAPBEXexcBad8 9" xfId="2099"/>
    <cellStyle name="SAPBEXexcBad9" xfId="2100"/>
    <cellStyle name="SAPBEXexcBad9 10" xfId="2101"/>
    <cellStyle name="SAPBEXexcBad9 2" xfId="2102"/>
    <cellStyle name="SAPBEXexcBad9 3" xfId="2103"/>
    <cellStyle name="SAPBEXexcBad9 4" xfId="2104"/>
    <cellStyle name="SAPBEXexcBad9 5" xfId="2105"/>
    <cellStyle name="SAPBEXexcBad9 6" xfId="2106"/>
    <cellStyle name="SAPBEXexcBad9 7" xfId="2107"/>
    <cellStyle name="SAPBEXexcBad9 8" xfId="2108"/>
    <cellStyle name="SAPBEXexcBad9 9" xfId="2109"/>
    <cellStyle name="SAPBEXexcCritical4" xfId="2110"/>
    <cellStyle name="SAPBEXexcCritical4 10" xfId="2111"/>
    <cellStyle name="SAPBEXexcCritical4 2" xfId="2112"/>
    <cellStyle name="SAPBEXexcCritical4 3" xfId="2113"/>
    <cellStyle name="SAPBEXexcCritical4 4" xfId="2114"/>
    <cellStyle name="SAPBEXexcCritical4 5" xfId="2115"/>
    <cellStyle name="SAPBEXexcCritical4 6" xfId="2116"/>
    <cellStyle name="SAPBEXexcCritical4 7" xfId="2117"/>
    <cellStyle name="SAPBEXexcCritical4 8" xfId="2118"/>
    <cellStyle name="SAPBEXexcCritical4 9" xfId="2119"/>
    <cellStyle name="SAPBEXexcCritical5" xfId="2120"/>
    <cellStyle name="SAPBEXexcCritical5 10" xfId="2121"/>
    <cellStyle name="SAPBEXexcCritical5 2" xfId="2122"/>
    <cellStyle name="SAPBEXexcCritical5 3" xfId="2123"/>
    <cellStyle name="SAPBEXexcCritical5 4" xfId="2124"/>
    <cellStyle name="SAPBEXexcCritical5 5" xfId="2125"/>
    <cellStyle name="SAPBEXexcCritical5 6" xfId="2126"/>
    <cellStyle name="SAPBEXexcCritical5 7" xfId="2127"/>
    <cellStyle name="SAPBEXexcCritical5 8" xfId="2128"/>
    <cellStyle name="SAPBEXexcCritical5 9" xfId="2129"/>
    <cellStyle name="SAPBEXexcCritical6" xfId="2130"/>
    <cellStyle name="SAPBEXexcCritical6 10" xfId="2131"/>
    <cellStyle name="SAPBEXexcCritical6 2" xfId="2132"/>
    <cellStyle name="SAPBEXexcCritical6 3" xfId="2133"/>
    <cellStyle name="SAPBEXexcCritical6 4" xfId="2134"/>
    <cellStyle name="SAPBEXexcCritical6 5" xfId="2135"/>
    <cellStyle name="SAPBEXexcCritical6 6" xfId="2136"/>
    <cellStyle name="SAPBEXexcCritical6 7" xfId="2137"/>
    <cellStyle name="SAPBEXexcCritical6 8" xfId="2138"/>
    <cellStyle name="SAPBEXexcCritical6 9" xfId="2139"/>
    <cellStyle name="SAPBEXexcGood1" xfId="2140"/>
    <cellStyle name="SAPBEXexcGood1 10" xfId="2141"/>
    <cellStyle name="SAPBEXexcGood1 2" xfId="2142"/>
    <cellStyle name="SAPBEXexcGood1 3" xfId="2143"/>
    <cellStyle name="SAPBEXexcGood1 4" xfId="2144"/>
    <cellStyle name="SAPBEXexcGood1 5" xfId="2145"/>
    <cellStyle name="SAPBEXexcGood1 6" xfId="2146"/>
    <cellStyle name="SAPBEXexcGood1 7" xfId="2147"/>
    <cellStyle name="SAPBEXexcGood1 8" xfId="2148"/>
    <cellStyle name="SAPBEXexcGood1 9" xfId="2149"/>
    <cellStyle name="SAPBEXexcGood2" xfId="2150"/>
    <cellStyle name="SAPBEXexcGood2 10" xfId="2151"/>
    <cellStyle name="SAPBEXexcGood2 2" xfId="2152"/>
    <cellStyle name="SAPBEXexcGood2 3" xfId="2153"/>
    <cellStyle name="SAPBEXexcGood2 4" xfId="2154"/>
    <cellStyle name="SAPBEXexcGood2 5" xfId="2155"/>
    <cellStyle name="SAPBEXexcGood2 6" xfId="2156"/>
    <cellStyle name="SAPBEXexcGood2 7" xfId="2157"/>
    <cellStyle name="SAPBEXexcGood2 8" xfId="2158"/>
    <cellStyle name="SAPBEXexcGood2 9" xfId="2159"/>
    <cellStyle name="SAPBEXexcGood3" xfId="2160"/>
    <cellStyle name="SAPBEXexcGood3 10" xfId="2161"/>
    <cellStyle name="SAPBEXexcGood3 2" xfId="2162"/>
    <cellStyle name="SAPBEXexcGood3 3" xfId="2163"/>
    <cellStyle name="SAPBEXexcGood3 4" xfId="2164"/>
    <cellStyle name="SAPBEXexcGood3 5" xfId="2165"/>
    <cellStyle name="SAPBEXexcGood3 6" xfId="2166"/>
    <cellStyle name="SAPBEXexcGood3 7" xfId="2167"/>
    <cellStyle name="SAPBEXexcGood3 8" xfId="2168"/>
    <cellStyle name="SAPBEXexcGood3 9" xfId="2169"/>
    <cellStyle name="SAPBEXfilterDrill" xfId="2170"/>
    <cellStyle name="SAPBEXfilterDrill 10" xfId="2171"/>
    <cellStyle name="SAPBEXfilterDrill 2" xfId="2172"/>
    <cellStyle name="SAPBEXfilterDrill 3" xfId="2173"/>
    <cellStyle name="SAPBEXfilterDrill 4" xfId="2174"/>
    <cellStyle name="SAPBEXfilterDrill 5" xfId="2175"/>
    <cellStyle name="SAPBEXfilterDrill 6" xfId="2176"/>
    <cellStyle name="SAPBEXfilterDrill 7" xfId="2177"/>
    <cellStyle name="SAPBEXfilterDrill 8" xfId="2178"/>
    <cellStyle name="SAPBEXfilterDrill 9" xfId="2179"/>
    <cellStyle name="SAPBEXfilterItem" xfId="2180"/>
    <cellStyle name="SAPBEXfilterItem 10" xfId="2181"/>
    <cellStyle name="SAPBEXfilterItem 2" xfId="2182"/>
    <cellStyle name="SAPBEXfilterItem 3" xfId="2183"/>
    <cellStyle name="SAPBEXfilterItem 4" xfId="2184"/>
    <cellStyle name="SAPBEXfilterItem 5" xfId="2185"/>
    <cellStyle name="SAPBEXfilterItem 6" xfId="2186"/>
    <cellStyle name="SAPBEXfilterItem 7" xfId="2187"/>
    <cellStyle name="SAPBEXfilterItem 8" xfId="2188"/>
    <cellStyle name="SAPBEXfilterItem 9" xfId="2189"/>
    <cellStyle name="SAPBEXfilterText" xfId="2190"/>
    <cellStyle name="SAPBEXfilterText 10" xfId="2191"/>
    <cellStyle name="SAPBEXfilterText 2" xfId="2192"/>
    <cellStyle name="SAPBEXfilterText 3" xfId="2193"/>
    <cellStyle name="SAPBEXfilterText 4" xfId="2194"/>
    <cellStyle name="SAPBEXfilterText 5" xfId="2195"/>
    <cellStyle name="SAPBEXfilterText 6" xfId="2196"/>
    <cellStyle name="SAPBEXfilterText 7" xfId="2197"/>
    <cellStyle name="SAPBEXfilterText 8" xfId="2198"/>
    <cellStyle name="SAPBEXfilterText 9" xfId="2199"/>
    <cellStyle name="SAPBEXformats" xfId="2200"/>
    <cellStyle name="SAPBEXformats 10" xfId="2201"/>
    <cellStyle name="SAPBEXformats 2" xfId="2202"/>
    <cellStyle name="SAPBEXformats 3" xfId="2203"/>
    <cellStyle name="SAPBEXformats 4" xfId="2204"/>
    <cellStyle name="SAPBEXformats 5" xfId="2205"/>
    <cellStyle name="SAPBEXformats 6" xfId="2206"/>
    <cellStyle name="SAPBEXformats 7" xfId="2207"/>
    <cellStyle name="SAPBEXformats 8" xfId="2208"/>
    <cellStyle name="SAPBEXformats 9" xfId="2209"/>
    <cellStyle name="SAPBEXheaderItem" xfId="2210"/>
    <cellStyle name="SAPBEXheaderItem 10" xfId="2211"/>
    <cellStyle name="SAPBEXheaderItem 2" xfId="2212"/>
    <cellStyle name="SAPBEXheaderItem 3" xfId="2213"/>
    <cellStyle name="SAPBEXheaderItem 4" xfId="2214"/>
    <cellStyle name="SAPBEXheaderItem 5" xfId="2215"/>
    <cellStyle name="SAPBEXheaderItem 6" xfId="2216"/>
    <cellStyle name="SAPBEXheaderItem 7" xfId="2217"/>
    <cellStyle name="SAPBEXheaderItem 8" xfId="2218"/>
    <cellStyle name="SAPBEXheaderItem 9" xfId="2219"/>
    <cellStyle name="SAPBEXheaderText" xfId="2220"/>
    <cellStyle name="SAPBEXheaderText 10" xfId="2221"/>
    <cellStyle name="SAPBEXheaderText 2" xfId="2222"/>
    <cellStyle name="SAPBEXheaderText 3" xfId="2223"/>
    <cellStyle name="SAPBEXheaderText 4" xfId="2224"/>
    <cellStyle name="SAPBEXheaderText 5" xfId="2225"/>
    <cellStyle name="SAPBEXheaderText 6" xfId="2226"/>
    <cellStyle name="SAPBEXheaderText 7" xfId="2227"/>
    <cellStyle name="SAPBEXheaderText 8" xfId="2228"/>
    <cellStyle name="SAPBEXheaderText 9" xfId="2229"/>
    <cellStyle name="SAPBEXHLevel0" xfId="2230"/>
    <cellStyle name="SAPBEXHLevel0 10" xfId="2231"/>
    <cellStyle name="SAPBEXHLevel0 2" xfId="2232"/>
    <cellStyle name="SAPBEXHLevel0 3" xfId="2233"/>
    <cellStyle name="SAPBEXHLevel0 4" xfId="2234"/>
    <cellStyle name="SAPBEXHLevel0 5" xfId="2235"/>
    <cellStyle name="SAPBEXHLevel0 6" xfId="2236"/>
    <cellStyle name="SAPBEXHLevel0 7" xfId="2237"/>
    <cellStyle name="SAPBEXHLevel0 8" xfId="2238"/>
    <cellStyle name="SAPBEXHLevel0 9" xfId="2239"/>
    <cellStyle name="SAPBEXHLevel0X" xfId="2240"/>
    <cellStyle name="SAPBEXHLevel0X 10" xfId="2241"/>
    <cellStyle name="SAPBEXHLevel0X 2" xfId="2242"/>
    <cellStyle name="SAPBEXHLevel0X 3" xfId="2243"/>
    <cellStyle name="SAPBEXHLevel0X 4" xfId="2244"/>
    <cellStyle name="SAPBEXHLevel0X 5" xfId="2245"/>
    <cellStyle name="SAPBEXHLevel0X 6" xfId="2246"/>
    <cellStyle name="SAPBEXHLevel0X 7" xfId="2247"/>
    <cellStyle name="SAPBEXHLevel0X 8" xfId="2248"/>
    <cellStyle name="SAPBEXHLevel0X 9" xfId="2249"/>
    <cellStyle name="SAPBEXHLevel1" xfId="2250"/>
    <cellStyle name="SAPBEXHLevel1 10" xfId="2251"/>
    <cellStyle name="SAPBEXHLevel1 2" xfId="2252"/>
    <cellStyle name="SAPBEXHLevel1 3" xfId="2253"/>
    <cellStyle name="SAPBEXHLevel1 4" xfId="2254"/>
    <cellStyle name="SAPBEXHLevel1 5" xfId="2255"/>
    <cellStyle name="SAPBEXHLevel1 6" xfId="2256"/>
    <cellStyle name="SAPBEXHLevel1 7" xfId="2257"/>
    <cellStyle name="SAPBEXHLevel1 8" xfId="2258"/>
    <cellStyle name="SAPBEXHLevel1 9" xfId="2259"/>
    <cellStyle name="SAPBEXHLevel1X" xfId="2260"/>
    <cellStyle name="SAPBEXHLevel1X 10" xfId="2261"/>
    <cellStyle name="SAPBEXHLevel1X 2" xfId="2262"/>
    <cellStyle name="SAPBEXHLevel1X 3" xfId="2263"/>
    <cellStyle name="SAPBEXHLevel1X 4" xfId="2264"/>
    <cellStyle name="SAPBEXHLevel1X 5" xfId="2265"/>
    <cellStyle name="SAPBEXHLevel1X 6" xfId="2266"/>
    <cellStyle name="SAPBEXHLevel1X 7" xfId="2267"/>
    <cellStyle name="SAPBEXHLevel1X 8" xfId="2268"/>
    <cellStyle name="SAPBEXHLevel1X 9" xfId="2269"/>
    <cellStyle name="SAPBEXHLevel2" xfId="2270"/>
    <cellStyle name="SAPBEXHLevel2 10" xfId="2271"/>
    <cellStyle name="SAPBEXHLevel2 2" xfId="2272"/>
    <cellStyle name="SAPBEXHLevel2 3" xfId="2273"/>
    <cellStyle name="SAPBEXHLevel2 4" xfId="2274"/>
    <cellStyle name="SAPBEXHLevel2 5" xfId="2275"/>
    <cellStyle name="SAPBEXHLevel2 6" xfId="2276"/>
    <cellStyle name="SAPBEXHLevel2 7" xfId="2277"/>
    <cellStyle name="SAPBEXHLevel2 8" xfId="2278"/>
    <cellStyle name="SAPBEXHLevel2 9" xfId="2279"/>
    <cellStyle name="SAPBEXHLevel2X" xfId="2280"/>
    <cellStyle name="SAPBEXHLevel2X 10" xfId="2281"/>
    <cellStyle name="SAPBEXHLevel2X 2" xfId="2282"/>
    <cellStyle name="SAPBEXHLevel2X 3" xfId="2283"/>
    <cellStyle name="SAPBEXHLevel2X 4" xfId="2284"/>
    <cellStyle name="SAPBEXHLevel2X 5" xfId="2285"/>
    <cellStyle name="SAPBEXHLevel2X 6" xfId="2286"/>
    <cellStyle name="SAPBEXHLevel2X 7" xfId="2287"/>
    <cellStyle name="SAPBEXHLevel2X 8" xfId="2288"/>
    <cellStyle name="SAPBEXHLevel2X 9" xfId="2289"/>
    <cellStyle name="SAPBEXHLevel3" xfId="2290"/>
    <cellStyle name="SAPBEXHLevel3 10" xfId="2291"/>
    <cellStyle name="SAPBEXHLevel3 2" xfId="2292"/>
    <cellStyle name="SAPBEXHLevel3 3" xfId="2293"/>
    <cellStyle name="SAPBEXHLevel3 4" xfId="2294"/>
    <cellStyle name="SAPBEXHLevel3 5" xfId="2295"/>
    <cellStyle name="SAPBEXHLevel3 6" xfId="2296"/>
    <cellStyle name="SAPBEXHLevel3 7" xfId="2297"/>
    <cellStyle name="SAPBEXHLevel3 8" xfId="2298"/>
    <cellStyle name="SAPBEXHLevel3 9" xfId="2299"/>
    <cellStyle name="SAPBEXHLevel3X" xfId="2300"/>
    <cellStyle name="SAPBEXHLevel3X 10" xfId="2301"/>
    <cellStyle name="SAPBEXHLevel3X 2" xfId="2302"/>
    <cellStyle name="SAPBEXHLevel3X 3" xfId="2303"/>
    <cellStyle name="SAPBEXHLevel3X 4" xfId="2304"/>
    <cellStyle name="SAPBEXHLevel3X 5" xfId="2305"/>
    <cellStyle name="SAPBEXHLevel3X 6" xfId="2306"/>
    <cellStyle name="SAPBEXHLevel3X 7" xfId="2307"/>
    <cellStyle name="SAPBEXHLevel3X 8" xfId="2308"/>
    <cellStyle name="SAPBEXHLevel3X 9" xfId="2309"/>
    <cellStyle name="SAPBEXinputData" xfId="2310"/>
    <cellStyle name="SAPBEXItemHeader" xfId="2311"/>
    <cellStyle name="SAPBEXresData" xfId="2312"/>
    <cellStyle name="SAPBEXresData 10" xfId="2313"/>
    <cellStyle name="SAPBEXresData 2" xfId="2314"/>
    <cellStyle name="SAPBEXresData 3" xfId="2315"/>
    <cellStyle name="SAPBEXresData 4" xfId="2316"/>
    <cellStyle name="SAPBEXresData 5" xfId="2317"/>
    <cellStyle name="SAPBEXresData 6" xfId="2318"/>
    <cellStyle name="SAPBEXresData 7" xfId="2319"/>
    <cellStyle name="SAPBEXresData 8" xfId="2320"/>
    <cellStyle name="SAPBEXresData 9" xfId="2321"/>
    <cellStyle name="SAPBEXresDataEmph" xfId="2322"/>
    <cellStyle name="SAPBEXresDataEmph 10" xfId="2323"/>
    <cellStyle name="SAPBEXresDataEmph 2" xfId="2324"/>
    <cellStyle name="SAPBEXresDataEmph 3" xfId="2325"/>
    <cellStyle name="SAPBEXresDataEmph 4" xfId="2326"/>
    <cellStyle name="SAPBEXresDataEmph 5" xfId="2327"/>
    <cellStyle name="SAPBEXresDataEmph 6" xfId="2328"/>
    <cellStyle name="SAPBEXresDataEmph 7" xfId="2329"/>
    <cellStyle name="SAPBEXresDataEmph 8" xfId="2330"/>
    <cellStyle name="SAPBEXresDataEmph 9" xfId="2331"/>
    <cellStyle name="SAPBEXresItem" xfId="2332"/>
    <cellStyle name="SAPBEXresItem 10" xfId="2333"/>
    <cellStyle name="SAPBEXresItem 2" xfId="2334"/>
    <cellStyle name="SAPBEXresItem 3" xfId="2335"/>
    <cellStyle name="SAPBEXresItem 4" xfId="2336"/>
    <cellStyle name="SAPBEXresItem 5" xfId="2337"/>
    <cellStyle name="SAPBEXresItem 6" xfId="2338"/>
    <cellStyle name="SAPBEXresItem 7" xfId="2339"/>
    <cellStyle name="SAPBEXresItem 8" xfId="2340"/>
    <cellStyle name="SAPBEXresItem 9" xfId="2341"/>
    <cellStyle name="SAPBEXresItemX" xfId="2342"/>
    <cellStyle name="SAPBEXresItemX 10" xfId="2343"/>
    <cellStyle name="SAPBEXresItemX 2" xfId="2344"/>
    <cellStyle name="SAPBEXresItemX 3" xfId="2345"/>
    <cellStyle name="SAPBEXresItemX 4" xfId="2346"/>
    <cellStyle name="SAPBEXresItemX 5" xfId="2347"/>
    <cellStyle name="SAPBEXresItemX 6" xfId="2348"/>
    <cellStyle name="SAPBEXresItemX 7" xfId="2349"/>
    <cellStyle name="SAPBEXresItemX 8" xfId="2350"/>
    <cellStyle name="SAPBEXresItemX 9" xfId="2351"/>
    <cellStyle name="SAPBEXstdData" xfId="2352"/>
    <cellStyle name="SAPBEXstdData 10" xfId="2353"/>
    <cellStyle name="SAPBEXstdData 2" xfId="2354"/>
    <cellStyle name="SAPBEXstdData 3" xfId="2355"/>
    <cellStyle name="SAPBEXstdData 4" xfId="2356"/>
    <cellStyle name="SAPBEXstdData 5" xfId="2357"/>
    <cellStyle name="SAPBEXstdData 6" xfId="2358"/>
    <cellStyle name="SAPBEXstdData 7" xfId="2359"/>
    <cellStyle name="SAPBEXstdData 8" xfId="2360"/>
    <cellStyle name="SAPBEXstdData 9" xfId="2361"/>
    <cellStyle name="SAPBEXstdDataEmph" xfId="2362"/>
    <cellStyle name="SAPBEXstdDataEmph 10" xfId="2363"/>
    <cellStyle name="SAPBEXstdDataEmph 2" xfId="2364"/>
    <cellStyle name="SAPBEXstdDataEmph 3" xfId="2365"/>
    <cellStyle name="SAPBEXstdDataEmph 4" xfId="2366"/>
    <cellStyle name="SAPBEXstdDataEmph 5" xfId="2367"/>
    <cellStyle name="SAPBEXstdDataEmph 6" xfId="2368"/>
    <cellStyle name="SAPBEXstdDataEmph 7" xfId="2369"/>
    <cellStyle name="SAPBEXstdDataEmph 8" xfId="2370"/>
    <cellStyle name="SAPBEXstdDataEmph 9" xfId="2371"/>
    <cellStyle name="SAPBEXstdItem" xfId="2372"/>
    <cellStyle name="SAPBEXstdItem 10" xfId="2373"/>
    <cellStyle name="SAPBEXstdItem 2" xfId="2374"/>
    <cellStyle name="SAPBEXstdItem 3" xfId="2375"/>
    <cellStyle name="SAPBEXstdItem 4" xfId="2376"/>
    <cellStyle name="SAPBEXstdItem 5" xfId="2377"/>
    <cellStyle name="SAPBEXstdItem 6" xfId="2378"/>
    <cellStyle name="SAPBEXstdItem 7" xfId="2379"/>
    <cellStyle name="SAPBEXstdItem 8" xfId="2380"/>
    <cellStyle name="SAPBEXstdItem 9" xfId="2381"/>
    <cellStyle name="SAPBEXstdItemX" xfId="2382"/>
    <cellStyle name="SAPBEXstdItemX 10" xfId="2383"/>
    <cellStyle name="SAPBEXstdItemX 2" xfId="2384"/>
    <cellStyle name="SAPBEXstdItemX 3" xfId="2385"/>
    <cellStyle name="SAPBEXstdItemX 4" xfId="2386"/>
    <cellStyle name="SAPBEXstdItemX 5" xfId="2387"/>
    <cellStyle name="SAPBEXstdItemX 6" xfId="2388"/>
    <cellStyle name="SAPBEXstdItemX 7" xfId="2389"/>
    <cellStyle name="SAPBEXstdItemX 8" xfId="2390"/>
    <cellStyle name="SAPBEXstdItemX 9" xfId="2391"/>
    <cellStyle name="SAPBEXtitle" xfId="2392"/>
    <cellStyle name="SAPBEXtitle 10" xfId="2393"/>
    <cellStyle name="SAPBEXtitle 2" xfId="2394"/>
    <cellStyle name="SAPBEXtitle 3" xfId="2395"/>
    <cellStyle name="SAPBEXtitle 4" xfId="2396"/>
    <cellStyle name="SAPBEXtitle 5" xfId="2397"/>
    <cellStyle name="SAPBEXtitle 6" xfId="2398"/>
    <cellStyle name="SAPBEXtitle 7" xfId="2399"/>
    <cellStyle name="SAPBEXtitle 8" xfId="2400"/>
    <cellStyle name="SAPBEXtitle 9" xfId="2401"/>
    <cellStyle name="SAPBEXunassignedItem" xfId="2402"/>
    <cellStyle name="SAPBEXundefined" xfId="2403"/>
    <cellStyle name="SAPBEXundefined 10" xfId="2404"/>
    <cellStyle name="SAPBEXundefined 2" xfId="2405"/>
    <cellStyle name="SAPBEXundefined 3" xfId="2406"/>
    <cellStyle name="SAPBEXundefined 4" xfId="2407"/>
    <cellStyle name="SAPBEXundefined 5" xfId="2408"/>
    <cellStyle name="SAPBEXundefined 6" xfId="2409"/>
    <cellStyle name="SAPBEXundefined 7" xfId="2410"/>
    <cellStyle name="SAPBEXundefined 8" xfId="2411"/>
    <cellStyle name="SAPBEXundefined 9" xfId="2412"/>
    <cellStyle name="Sheet Title" xfId="2413"/>
    <cellStyle name="Shell" xfId="2414"/>
    <cellStyle name="Short Date" xfId="2415"/>
    <cellStyle name="Short Time" xfId="2416"/>
    <cellStyle name="Source Line" xfId="2417"/>
    <cellStyle name="Standard" xfId="2418"/>
    <cellStyle name="Style 1" xfId="2419"/>
    <cellStyle name="Style 27" xfId="2420"/>
    <cellStyle name="Style 43" xfId="2421"/>
    <cellStyle name="Style 56" xfId="2422"/>
    <cellStyle name="Style 58" xfId="2423"/>
    <cellStyle name="Style 59" xfId="2424"/>
    <cellStyle name="Style 60" xfId="2425"/>
    <cellStyle name="Style 62" xfId="2426"/>
    <cellStyle name="Style 64" xfId="2427"/>
    <cellStyle name="Sub heading" xfId="2428"/>
    <cellStyle name="sub_total" xfId="2429"/>
    <cellStyle name="Subhead" xfId="2430"/>
    <cellStyle name="sub-title" xfId="2431"/>
    <cellStyle name="Subtotal_left" xfId="2432"/>
    <cellStyle name="Summary" xfId="2433"/>
    <cellStyle name="swpBody01" xfId="2434"/>
    <cellStyle name="TA_Calculated" xfId="2435"/>
    <cellStyle name="Table Head" xfId="2436"/>
    <cellStyle name="Table Head Aligned" xfId="2437"/>
    <cellStyle name="Table Head Blue" xfId="2438"/>
    <cellStyle name="Table Head Green" xfId="2439"/>
    <cellStyle name="Table Title" xfId="2440"/>
    <cellStyle name="Table Units" xfId="2441"/>
    <cellStyle name="Text" xfId="2442"/>
    <cellStyle name="Title" xfId="2443"/>
    <cellStyle name="Title 10" xfId="2444"/>
    <cellStyle name="Title 11" xfId="2445"/>
    <cellStyle name="Title 12" xfId="2446"/>
    <cellStyle name="Title 2" xfId="2447"/>
    <cellStyle name="Title 3" xfId="2448"/>
    <cellStyle name="Title 4" xfId="2449"/>
    <cellStyle name="Title 5" xfId="2450"/>
    <cellStyle name="Title 6" xfId="2451"/>
    <cellStyle name="Title 7" xfId="2452"/>
    <cellStyle name="Title 8" xfId="2453"/>
    <cellStyle name="Title 9" xfId="2454"/>
    <cellStyle name="Title1" xfId="2455"/>
    <cellStyle name="Title2" xfId="2456"/>
    <cellStyle name="To_Financials" xfId="2457"/>
    <cellStyle name="Total" xfId="2458"/>
    <cellStyle name="Total 10" xfId="2459"/>
    <cellStyle name="Total 11" xfId="2460"/>
    <cellStyle name="Total 12" xfId="2461"/>
    <cellStyle name="Total 2" xfId="2462"/>
    <cellStyle name="Total 3" xfId="2463"/>
    <cellStyle name="Total 4" xfId="2464"/>
    <cellStyle name="Total 5" xfId="2465"/>
    <cellStyle name="Total 6" xfId="2466"/>
    <cellStyle name="Total 7" xfId="2467"/>
    <cellStyle name="Total 8" xfId="2468"/>
    <cellStyle name="Total 9" xfId="2469"/>
    <cellStyle name="totals" xfId="2470"/>
    <cellStyle name="toto" xfId="2471"/>
    <cellStyle name="Trailer" xfId="2472"/>
    <cellStyle name="unlocked" xfId="2473"/>
    <cellStyle name="Währung [0]_C1PROEBIDTA" xfId="2474"/>
    <cellStyle name="Währung_C1PROEBIDTA" xfId="2475"/>
    <cellStyle name="Warning Text" xfId="2476"/>
    <cellStyle name="Warning Text 10" xfId="2477"/>
    <cellStyle name="Warning Text 11" xfId="2478"/>
    <cellStyle name="Warning Text 12" xfId="2479"/>
    <cellStyle name="Warning Text 2" xfId="2480"/>
    <cellStyle name="Warning Text 3" xfId="2481"/>
    <cellStyle name="Warning Text 4" xfId="2482"/>
    <cellStyle name="Warning Text 5" xfId="2483"/>
    <cellStyle name="Warning Text 6" xfId="2484"/>
    <cellStyle name="Warning Text 7" xfId="2485"/>
    <cellStyle name="Warning Text 8" xfId="2486"/>
    <cellStyle name="Warning Text 9" xfId="2487"/>
    <cellStyle name="WHO_head" xfId="2488"/>
    <cellStyle name="XL3 Blue" xfId="2489"/>
    <cellStyle name="XL3 Green" xfId="2490"/>
    <cellStyle name="XL3 Orange" xfId="2491"/>
    <cellStyle name="XL3 Red" xfId="2492"/>
    <cellStyle name="XL3 Yellow" xfId="2493"/>
    <cellStyle name="Year" xfId="2494"/>
    <cellStyle name="ZNDate" xfId="2495"/>
    <cellStyle name="ZNprice" xfId="2496"/>
    <cellStyle name="千位[0]_97试算平衡" xfId="2497"/>
    <cellStyle name="千位_97试算平衡" xfId="2498"/>
    <cellStyle name="千位分隔 2" xfId="2499"/>
    <cellStyle name="千位分隔_报表审计模版" xfId="2500"/>
    <cellStyle name="千分位[0]_ 白土" xfId="2501"/>
    <cellStyle name="千分位_ 白土" xfId="2502"/>
    <cellStyle name="好" xfId="2503"/>
    <cellStyle name="差" xfId="2504"/>
    <cellStyle name="常规_2002年季度报表格式" xfId="2505"/>
    <cellStyle name="强调文字颜色 1" xfId="2506"/>
    <cellStyle name="强调文字颜色 2" xfId="2507"/>
    <cellStyle name="强调文字颜色 3" xfId="2508"/>
    <cellStyle name="强调文字颜色 4" xfId="2509"/>
    <cellStyle name="强调文字颜色 5" xfId="2510"/>
    <cellStyle name="强调文字颜色 6" xfId="2511"/>
    <cellStyle name="普通_ 白土" xfId="2512"/>
    <cellStyle name="标题" xfId="2513"/>
    <cellStyle name="标题 1" xfId="2514"/>
    <cellStyle name="标题 2" xfId="2515"/>
    <cellStyle name="标题 3" xfId="2516"/>
    <cellStyle name="标题 4" xfId="2517"/>
    <cellStyle name="检查单元格" xfId="2518"/>
    <cellStyle name="標準_03Q1Invoice" xfId="2519"/>
    <cellStyle name="汇总" xfId="2520"/>
    <cellStyle name="注释" xfId="2521"/>
    <cellStyle name="解释性文本" xfId="2522"/>
    <cellStyle name="警告文本" xfId="2523"/>
    <cellStyle name="计算" xfId="2524"/>
    <cellStyle name="输入" xfId="2525"/>
    <cellStyle name="输出" xfId="2526"/>
    <cellStyle name="适中" xfId="2527"/>
    <cellStyle name="链接单元格" xfId="25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DT94"/>
  <sheetViews>
    <sheetView tabSelected="1" zoomScale="85" zoomScaleNormal="85" workbookViewId="0" topLeftCell="A1">
      <pane xSplit="3" ySplit="7" topLeftCell="DA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80" sqref="I80"/>
    </sheetView>
  </sheetViews>
  <sheetFormatPr defaultColWidth="9.140625" defaultRowHeight="12.75"/>
  <cols>
    <col min="1" max="1" width="2.7109375" style="0" customWidth="1"/>
    <col min="2" max="2" width="14.7109375" style="0" customWidth="1"/>
    <col min="3" max="3" width="38.140625" style="0" customWidth="1"/>
    <col min="4" max="4" width="12.140625" style="79" bestFit="1" customWidth="1"/>
    <col min="5" max="5" width="9.8515625" style="79" bestFit="1" customWidth="1"/>
    <col min="6" max="6" width="10.57421875" style="0" bestFit="1" customWidth="1"/>
    <col min="7" max="7" width="12.57421875" style="0" bestFit="1" customWidth="1"/>
    <col min="8" max="8" width="10.8515625" style="1" bestFit="1" customWidth="1"/>
    <col min="9" max="9" width="12.140625" style="0" bestFit="1" customWidth="1"/>
    <col min="10" max="10" width="10.28125" style="0" bestFit="1" customWidth="1"/>
    <col min="11" max="11" width="9.8515625" style="0" bestFit="1" customWidth="1"/>
    <col min="12" max="12" width="12.57421875" style="0" bestFit="1" customWidth="1"/>
    <col min="13" max="13" width="12.421875" style="0" bestFit="1" customWidth="1"/>
    <col min="14" max="14" width="9.8515625" style="0" bestFit="1" customWidth="1"/>
    <col min="15" max="15" width="10.8515625" style="1" bestFit="1" customWidth="1"/>
    <col min="16" max="16" width="9.8515625" style="0" bestFit="1" customWidth="1"/>
    <col min="17" max="17" width="22.00390625" style="0" bestFit="1" customWidth="1"/>
    <col min="18" max="18" width="9.8515625" style="0" bestFit="1" customWidth="1"/>
    <col min="19" max="19" width="12.140625" style="0" bestFit="1" customWidth="1"/>
    <col min="20" max="21" width="9.8515625" style="0" bestFit="1" customWidth="1"/>
    <col min="22" max="22" width="12.57421875" style="0" bestFit="1" customWidth="1"/>
    <col min="23" max="23" width="10.8515625" style="0" bestFit="1" customWidth="1"/>
    <col min="24" max="24" width="12.140625" style="0" bestFit="1" customWidth="1"/>
    <col min="25" max="26" width="9.8515625" style="0" bestFit="1" customWidth="1"/>
    <col min="27" max="27" width="12.57421875" style="0" bestFit="1" customWidth="1"/>
    <col min="28" max="28" width="10.8515625" style="0" bestFit="1" customWidth="1"/>
    <col min="29" max="29" width="12.140625" style="0" bestFit="1" customWidth="1"/>
    <col min="30" max="31" width="9.8515625" style="0" bestFit="1" customWidth="1"/>
    <col min="32" max="32" width="12.57421875" style="0" bestFit="1" customWidth="1"/>
    <col min="33" max="33" width="10.8515625" style="0" bestFit="1" customWidth="1"/>
    <col min="34" max="34" width="7.140625" style="0" bestFit="1" customWidth="1"/>
    <col min="35" max="37" width="9.8515625" style="0" bestFit="1" customWidth="1"/>
    <col min="38" max="38" width="10.8515625" style="0" bestFit="1" customWidth="1"/>
    <col min="39" max="39" width="9.57421875" style="0" bestFit="1" customWidth="1"/>
    <col min="40" max="41" width="9.28125" style="0" bestFit="1" customWidth="1"/>
    <col min="42" max="42" width="10.8515625" style="1" bestFit="1" customWidth="1"/>
    <col min="43" max="43" width="9.8515625" style="0" bestFit="1" customWidth="1"/>
    <col min="44" max="44" width="23.57421875" style="85" bestFit="1" customWidth="1"/>
    <col min="45" max="45" width="9.8515625" style="85" bestFit="1" customWidth="1"/>
    <col min="46" max="46" width="9.28125" style="0" bestFit="1" customWidth="1"/>
    <col min="47" max="47" width="7.140625" style="0" bestFit="1" customWidth="1"/>
    <col min="48" max="48" width="9.8515625" style="0" bestFit="1" customWidth="1"/>
    <col min="49" max="49" width="10.00390625" style="0" bestFit="1" customWidth="1"/>
    <col min="50" max="50" width="9.8515625" style="0" bestFit="1" customWidth="1"/>
    <col min="51" max="51" width="10.8515625" style="0" bestFit="1" customWidth="1"/>
    <col min="52" max="52" width="9.57421875" style="0" bestFit="1" customWidth="1"/>
    <col min="53" max="54" width="9.28125" style="0" bestFit="1" customWidth="1"/>
    <col min="55" max="55" width="10.8515625" style="1" bestFit="1" customWidth="1"/>
    <col min="56" max="56" width="9.00390625" style="0" bestFit="1" customWidth="1"/>
    <col min="57" max="57" width="12.28125" style="0" bestFit="1" customWidth="1"/>
    <col min="58" max="58" width="11.57421875" style="0" bestFit="1" customWidth="1"/>
    <col min="59" max="59" width="9.8515625" style="0" bestFit="1" customWidth="1"/>
    <col min="60" max="60" width="11.8515625" style="0" bestFit="1" customWidth="1"/>
    <col min="61" max="61" width="9.57421875" style="0" bestFit="1" customWidth="1"/>
    <col min="62" max="62" width="9.28125" style="0" bestFit="1" customWidth="1"/>
    <col min="63" max="63" width="8.421875" style="0" bestFit="1" customWidth="1"/>
    <col min="64" max="64" width="10.8515625" style="1" bestFit="1" customWidth="1"/>
    <col min="65" max="65" width="8.421875" style="0" bestFit="1" customWidth="1"/>
    <col min="66" max="66" width="10.00390625" style="0" bestFit="1" customWidth="1"/>
    <col min="67" max="67" width="11.57421875" style="0" bestFit="1" customWidth="1"/>
    <col min="68" max="68" width="9.8515625" style="0" bestFit="1" customWidth="1"/>
    <col min="69" max="69" width="10.8515625" style="0" bestFit="1" customWidth="1"/>
    <col min="70" max="70" width="9.57421875" style="0" bestFit="1" customWidth="1"/>
    <col min="71" max="71" width="9.28125" style="0" bestFit="1" customWidth="1"/>
    <col min="72" max="72" width="8.421875" style="0" bestFit="1" customWidth="1"/>
    <col min="73" max="73" width="10.8515625" style="1" bestFit="1" customWidth="1"/>
    <col min="74" max="74" width="8.421875" style="0" bestFit="1" customWidth="1"/>
    <col min="75" max="75" width="9.8515625" style="0" bestFit="1" customWidth="1"/>
    <col min="76" max="77" width="10.00390625" style="0" bestFit="1" customWidth="1"/>
    <col min="78" max="78" width="10.8515625" style="0" bestFit="1" customWidth="1"/>
    <col min="79" max="79" width="9.57421875" style="0" bestFit="1" customWidth="1"/>
    <col min="80" max="80" width="9.28125" style="0" bestFit="1" customWidth="1"/>
    <col min="81" max="81" width="8.421875" style="0" bestFit="1" customWidth="1"/>
    <col min="82" max="82" width="10.8515625" style="1" bestFit="1" customWidth="1"/>
    <col min="83" max="83" width="11.8515625" style="0" bestFit="1" customWidth="1"/>
    <col min="84" max="84" width="23.57421875" style="85" bestFit="1" customWidth="1"/>
    <col min="85" max="85" width="10.8515625" style="85" bestFit="1" customWidth="1"/>
    <col min="86" max="86" width="10.8515625" style="0" bestFit="1" customWidth="1"/>
    <col min="87" max="87" width="8.421875" style="0" bestFit="1" customWidth="1"/>
    <col min="88" max="88" width="9.8515625" style="0" bestFit="1" customWidth="1"/>
    <col min="89" max="89" width="10.00390625" style="0" bestFit="1" customWidth="1"/>
    <col min="90" max="90" width="9.8515625" style="0" bestFit="1" customWidth="1"/>
    <col min="91" max="91" width="10.8515625" style="0" bestFit="1" customWidth="1"/>
    <col min="92" max="92" width="9.57421875" style="0" bestFit="1" customWidth="1"/>
    <col min="93" max="93" width="10.00390625" style="0" bestFit="1" customWidth="1"/>
    <col min="94" max="94" width="8.421875" style="0" bestFit="1" customWidth="1"/>
    <col min="95" max="95" width="10.8515625" style="1" bestFit="1" customWidth="1"/>
    <col min="96" max="96" width="9.421875" style="0" bestFit="1" customWidth="1"/>
    <col min="97" max="103" width="11.421875" style="0" customWidth="1"/>
    <col min="104" max="104" width="11.421875" style="1" customWidth="1"/>
    <col min="105" max="105" width="9.421875" style="0" bestFit="1" customWidth="1"/>
    <col min="106" max="112" width="11.421875" style="0" customWidth="1"/>
    <col min="113" max="113" width="11.421875" style="1" customWidth="1"/>
    <col min="114" max="114" width="12.140625" style="0" customWidth="1"/>
    <col min="115" max="115" width="12.140625" style="85" customWidth="1"/>
    <col min="116" max="116" width="11.421875" style="85" customWidth="1"/>
    <col min="117" max="117" width="11.421875" style="0" customWidth="1"/>
    <col min="118" max="118" width="10.140625" style="81" customWidth="1"/>
    <col min="119" max="124" width="9.140625" style="81" customWidth="1"/>
  </cols>
  <sheetData>
    <row r="1" ht="12.75"/>
    <row r="2" ht="12.75"/>
    <row r="3" ht="12.75"/>
    <row r="4" spans="2:15" ht="13.5" thickBot="1">
      <c r="B4" s="79" t="s">
        <v>115</v>
      </c>
      <c r="D4" s="86"/>
      <c r="E4" s="86"/>
      <c r="F4" s="7"/>
      <c r="G4" s="7"/>
      <c r="H4" s="5"/>
      <c r="I4" s="7"/>
      <c r="J4" s="7"/>
      <c r="K4" s="7"/>
      <c r="L4" s="7"/>
      <c r="M4" s="7"/>
      <c r="N4" s="7"/>
      <c r="O4" s="5"/>
    </row>
    <row r="5" spans="2:118" ht="12.75">
      <c r="B5" s="209"/>
      <c r="C5" s="210"/>
      <c r="D5" s="87"/>
      <c r="E5" s="88"/>
      <c r="F5" s="48">
        <v>2010</v>
      </c>
      <c r="G5" s="48"/>
      <c r="H5" s="52"/>
      <c r="I5" s="18"/>
      <c r="J5" s="19"/>
      <c r="K5" s="20">
        <v>2011</v>
      </c>
      <c r="L5" s="20"/>
      <c r="M5" s="20"/>
      <c r="N5" s="20"/>
      <c r="O5" s="21"/>
      <c r="P5" s="215"/>
      <c r="Q5" s="216" t="s">
        <v>48</v>
      </c>
      <c r="R5" s="217"/>
      <c r="S5" s="221"/>
      <c r="T5" s="222"/>
      <c r="U5" s="223" t="s">
        <v>47</v>
      </c>
      <c r="V5" s="223"/>
      <c r="W5" s="224"/>
      <c r="X5" s="226"/>
      <c r="Y5" s="227"/>
      <c r="Z5" s="228" t="s">
        <v>49</v>
      </c>
      <c r="AA5" s="228"/>
      <c r="AB5" s="229"/>
      <c r="AC5" s="233"/>
      <c r="AD5" s="234"/>
      <c r="AE5" s="235" t="s">
        <v>50</v>
      </c>
      <c r="AF5" s="235"/>
      <c r="AG5" s="235"/>
      <c r="AH5" s="238"/>
      <c r="AI5" s="239"/>
      <c r="AJ5" s="240"/>
      <c r="AK5" s="240" t="s">
        <v>57</v>
      </c>
      <c r="AL5" s="240"/>
      <c r="AM5" s="240"/>
      <c r="AN5" s="240"/>
      <c r="AO5" s="240"/>
      <c r="AP5" s="241"/>
      <c r="AQ5" s="202"/>
      <c r="AR5" s="203" t="s">
        <v>67</v>
      </c>
      <c r="AS5" s="204"/>
      <c r="AT5" s="205"/>
      <c r="AU5" s="193"/>
      <c r="AV5" s="194"/>
      <c r="AW5" s="195"/>
      <c r="AX5" s="195" t="s">
        <v>104</v>
      </c>
      <c r="AY5" s="195"/>
      <c r="AZ5" s="195"/>
      <c r="BA5" s="195"/>
      <c r="BB5" s="195"/>
      <c r="BC5" s="196"/>
      <c r="BD5" s="249"/>
      <c r="BE5" s="250"/>
      <c r="BF5" s="251"/>
      <c r="BG5" s="251" t="s">
        <v>106</v>
      </c>
      <c r="BH5" s="251"/>
      <c r="BI5" s="251"/>
      <c r="BJ5" s="251"/>
      <c r="BK5" s="251"/>
      <c r="BL5" s="252"/>
      <c r="BM5" s="299"/>
      <c r="BN5" s="300"/>
      <c r="BO5" s="301"/>
      <c r="BP5" s="301" t="s">
        <v>108</v>
      </c>
      <c r="BQ5" s="301"/>
      <c r="BR5" s="301"/>
      <c r="BS5" s="301"/>
      <c r="BT5" s="301"/>
      <c r="BU5" s="302"/>
      <c r="BV5" s="309"/>
      <c r="BW5" s="310"/>
      <c r="BX5" s="311"/>
      <c r="BY5" s="311" t="s">
        <v>109</v>
      </c>
      <c r="BZ5" s="311"/>
      <c r="CA5" s="311"/>
      <c r="CB5" s="311"/>
      <c r="CC5" s="311"/>
      <c r="CD5" s="312"/>
      <c r="CE5" s="187"/>
      <c r="CF5" s="256" t="s">
        <v>110</v>
      </c>
      <c r="CG5" s="188"/>
      <c r="CH5" s="189"/>
      <c r="CI5" s="333"/>
      <c r="CJ5" s="334"/>
      <c r="CK5" s="335"/>
      <c r="CL5" s="335" t="s">
        <v>112</v>
      </c>
      <c r="CM5" s="335"/>
      <c r="CN5" s="335"/>
      <c r="CO5" s="335"/>
      <c r="CP5" s="335"/>
      <c r="CQ5" s="336"/>
      <c r="CR5" s="342"/>
      <c r="CS5" s="343"/>
      <c r="CT5" s="344"/>
      <c r="CU5" s="344" t="s">
        <v>116</v>
      </c>
      <c r="CV5" s="344"/>
      <c r="CW5" s="344"/>
      <c r="CX5" s="344"/>
      <c r="CY5" s="344"/>
      <c r="CZ5" s="345"/>
      <c r="DA5" s="364"/>
      <c r="DB5" s="365"/>
      <c r="DC5" s="366"/>
      <c r="DD5" s="366" t="s">
        <v>127</v>
      </c>
      <c r="DE5" s="366"/>
      <c r="DF5" s="366"/>
      <c r="DG5" s="366"/>
      <c r="DH5" s="366"/>
      <c r="DI5" s="367"/>
      <c r="DJ5" s="187"/>
      <c r="DK5" s="256" t="s">
        <v>128</v>
      </c>
      <c r="DL5" s="188"/>
      <c r="DM5" s="189"/>
      <c r="DN5" s="80"/>
    </row>
    <row r="6" spans="2:118" ht="12.75">
      <c r="B6" s="211" t="s">
        <v>28</v>
      </c>
      <c r="C6" s="212"/>
      <c r="D6" s="51"/>
      <c r="E6" s="49" t="s">
        <v>0</v>
      </c>
      <c r="F6" s="49" t="s">
        <v>0</v>
      </c>
      <c r="G6" s="49" t="s">
        <v>0</v>
      </c>
      <c r="H6" s="50" t="s">
        <v>0</v>
      </c>
      <c r="I6" s="22"/>
      <c r="J6" s="23" t="s">
        <v>0</v>
      </c>
      <c r="K6" s="23" t="s">
        <v>0</v>
      </c>
      <c r="L6" s="23" t="s">
        <v>0</v>
      </c>
      <c r="M6" s="23" t="s">
        <v>0</v>
      </c>
      <c r="N6" s="23" t="s">
        <v>0</v>
      </c>
      <c r="O6" s="24" t="s">
        <v>0</v>
      </c>
      <c r="P6" s="218" t="s">
        <v>38</v>
      </c>
      <c r="Q6" s="219" t="s">
        <v>38</v>
      </c>
      <c r="R6" s="220" t="s">
        <v>41</v>
      </c>
      <c r="S6" s="200"/>
      <c r="T6" s="225" t="s">
        <v>0</v>
      </c>
      <c r="U6" s="225" t="s">
        <v>0</v>
      </c>
      <c r="V6" s="225" t="s">
        <v>0</v>
      </c>
      <c r="W6" s="201" t="s">
        <v>0</v>
      </c>
      <c r="X6" s="230"/>
      <c r="Y6" s="231" t="s">
        <v>0</v>
      </c>
      <c r="Z6" s="231" t="s">
        <v>0</v>
      </c>
      <c r="AA6" s="231" t="s">
        <v>0</v>
      </c>
      <c r="AB6" s="232" t="s">
        <v>0</v>
      </c>
      <c r="AC6" s="236"/>
      <c r="AD6" s="237" t="s">
        <v>0</v>
      </c>
      <c r="AE6" s="237" t="s">
        <v>0</v>
      </c>
      <c r="AF6" s="237" t="s">
        <v>0</v>
      </c>
      <c r="AG6" s="237" t="s">
        <v>0</v>
      </c>
      <c r="AH6" s="242" t="s">
        <v>69</v>
      </c>
      <c r="AI6" s="243" t="s">
        <v>0</v>
      </c>
      <c r="AJ6" s="243" t="s">
        <v>0</v>
      </c>
      <c r="AK6" s="243" t="s">
        <v>0</v>
      </c>
      <c r="AL6" s="243" t="s">
        <v>0</v>
      </c>
      <c r="AM6" s="243" t="s">
        <v>59</v>
      </c>
      <c r="AN6" s="243" t="s">
        <v>60</v>
      </c>
      <c r="AO6" s="243" t="s">
        <v>59</v>
      </c>
      <c r="AP6" s="244" t="s">
        <v>14</v>
      </c>
      <c r="AQ6" s="206" t="s">
        <v>38</v>
      </c>
      <c r="AR6" s="207" t="s">
        <v>38</v>
      </c>
      <c r="AS6" s="207" t="s">
        <v>41</v>
      </c>
      <c r="AT6" s="208" t="s">
        <v>41</v>
      </c>
      <c r="AU6" s="197" t="s">
        <v>69</v>
      </c>
      <c r="AV6" s="198" t="s">
        <v>0</v>
      </c>
      <c r="AW6" s="198" t="s">
        <v>0</v>
      </c>
      <c r="AX6" s="198" t="s">
        <v>0</v>
      </c>
      <c r="AY6" s="198" t="s">
        <v>0</v>
      </c>
      <c r="AZ6" s="198" t="s">
        <v>59</v>
      </c>
      <c r="BA6" s="198" t="s">
        <v>60</v>
      </c>
      <c r="BB6" s="198" t="s">
        <v>59</v>
      </c>
      <c r="BC6" s="199" t="s">
        <v>14</v>
      </c>
      <c r="BD6" s="253" t="s">
        <v>69</v>
      </c>
      <c r="BE6" s="254" t="s">
        <v>0</v>
      </c>
      <c r="BF6" s="254" t="s">
        <v>0</v>
      </c>
      <c r="BG6" s="254" t="s">
        <v>0</v>
      </c>
      <c r="BH6" s="254" t="s">
        <v>0</v>
      </c>
      <c r="BI6" s="254" t="s">
        <v>59</v>
      </c>
      <c r="BJ6" s="254" t="s">
        <v>60</v>
      </c>
      <c r="BK6" s="254" t="s">
        <v>59</v>
      </c>
      <c r="BL6" s="255" t="s">
        <v>14</v>
      </c>
      <c r="BM6" s="213" t="s">
        <v>69</v>
      </c>
      <c r="BN6" s="214" t="s">
        <v>0</v>
      </c>
      <c r="BO6" s="214" t="s">
        <v>0</v>
      </c>
      <c r="BP6" s="214" t="s">
        <v>0</v>
      </c>
      <c r="BQ6" s="214" t="s">
        <v>0</v>
      </c>
      <c r="BR6" s="214" t="s">
        <v>59</v>
      </c>
      <c r="BS6" s="214" t="s">
        <v>60</v>
      </c>
      <c r="BT6" s="214" t="s">
        <v>59</v>
      </c>
      <c r="BU6" s="303" t="s">
        <v>14</v>
      </c>
      <c r="BV6" s="313" t="s">
        <v>69</v>
      </c>
      <c r="BW6" s="314" t="s">
        <v>0</v>
      </c>
      <c r="BX6" s="314" t="s">
        <v>0</v>
      </c>
      <c r="BY6" s="314" t="s">
        <v>0</v>
      </c>
      <c r="BZ6" s="314" t="s">
        <v>0</v>
      </c>
      <c r="CA6" s="314" t="s">
        <v>59</v>
      </c>
      <c r="CB6" s="314" t="s">
        <v>60</v>
      </c>
      <c r="CC6" s="314" t="s">
        <v>59</v>
      </c>
      <c r="CD6" s="315" t="s">
        <v>14</v>
      </c>
      <c r="CE6" s="190" t="s">
        <v>38</v>
      </c>
      <c r="CF6" s="191" t="s">
        <v>38</v>
      </c>
      <c r="CG6" s="191" t="s">
        <v>41</v>
      </c>
      <c r="CH6" s="192" t="s">
        <v>41</v>
      </c>
      <c r="CI6" s="337" t="s">
        <v>69</v>
      </c>
      <c r="CJ6" s="338" t="s">
        <v>0</v>
      </c>
      <c r="CK6" s="338" t="s">
        <v>0</v>
      </c>
      <c r="CL6" s="338" t="s">
        <v>0</v>
      </c>
      <c r="CM6" s="338" t="s">
        <v>0</v>
      </c>
      <c r="CN6" s="338" t="s">
        <v>59</v>
      </c>
      <c r="CO6" s="338" t="s">
        <v>60</v>
      </c>
      <c r="CP6" s="338" t="s">
        <v>59</v>
      </c>
      <c r="CQ6" s="339" t="s">
        <v>14</v>
      </c>
      <c r="CR6" s="206" t="s">
        <v>69</v>
      </c>
      <c r="CS6" s="346" t="s">
        <v>0</v>
      </c>
      <c r="CT6" s="346" t="s">
        <v>0</v>
      </c>
      <c r="CU6" s="346" t="s">
        <v>0</v>
      </c>
      <c r="CV6" s="346" t="s">
        <v>0</v>
      </c>
      <c r="CW6" s="346" t="s">
        <v>59</v>
      </c>
      <c r="CX6" s="346" t="s">
        <v>60</v>
      </c>
      <c r="CY6" s="346" t="s">
        <v>59</v>
      </c>
      <c r="CZ6" s="208" t="s">
        <v>14</v>
      </c>
      <c r="DA6" s="368" t="s">
        <v>69</v>
      </c>
      <c r="DB6" s="369" t="s">
        <v>0</v>
      </c>
      <c r="DC6" s="369" t="s">
        <v>0</v>
      </c>
      <c r="DD6" s="369" t="s">
        <v>0</v>
      </c>
      <c r="DE6" s="369" t="s">
        <v>0</v>
      </c>
      <c r="DF6" s="369" t="s">
        <v>59</v>
      </c>
      <c r="DG6" s="369" t="s">
        <v>60</v>
      </c>
      <c r="DH6" s="369" t="s">
        <v>59</v>
      </c>
      <c r="DI6" s="370" t="s">
        <v>14</v>
      </c>
      <c r="DJ6" s="190" t="s">
        <v>38</v>
      </c>
      <c r="DK6" s="191" t="s">
        <v>38</v>
      </c>
      <c r="DL6" s="191" t="s">
        <v>41</v>
      </c>
      <c r="DM6" s="192" t="s">
        <v>41</v>
      </c>
      <c r="DN6" s="82"/>
    </row>
    <row r="7" spans="2:118" ht="12.75">
      <c r="B7" s="213" t="s">
        <v>17</v>
      </c>
      <c r="C7" s="214" t="s">
        <v>27</v>
      </c>
      <c r="D7" s="51" t="s">
        <v>20</v>
      </c>
      <c r="E7" s="49" t="s">
        <v>12</v>
      </c>
      <c r="F7" s="49" t="s">
        <v>13</v>
      </c>
      <c r="G7" s="49" t="s">
        <v>25</v>
      </c>
      <c r="H7" s="50" t="s">
        <v>14</v>
      </c>
      <c r="I7" s="22" t="s">
        <v>20</v>
      </c>
      <c r="J7" s="23" t="s">
        <v>12</v>
      </c>
      <c r="K7" s="23" t="s">
        <v>13</v>
      </c>
      <c r="L7" s="23" t="s">
        <v>25</v>
      </c>
      <c r="M7" s="23" t="s">
        <v>21</v>
      </c>
      <c r="N7" s="23" t="s">
        <v>6</v>
      </c>
      <c r="O7" s="24" t="s">
        <v>14</v>
      </c>
      <c r="P7" s="218" t="s">
        <v>39</v>
      </c>
      <c r="Q7" s="219" t="s">
        <v>40</v>
      </c>
      <c r="R7" s="220" t="s">
        <v>0</v>
      </c>
      <c r="S7" s="200" t="s">
        <v>20</v>
      </c>
      <c r="T7" s="225" t="s">
        <v>12</v>
      </c>
      <c r="U7" s="225" t="s">
        <v>13</v>
      </c>
      <c r="V7" s="225" t="s">
        <v>25</v>
      </c>
      <c r="W7" s="201" t="s">
        <v>14</v>
      </c>
      <c r="X7" s="230" t="s">
        <v>20</v>
      </c>
      <c r="Y7" s="231" t="s">
        <v>12</v>
      </c>
      <c r="Z7" s="231" t="s">
        <v>13</v>
      </c>
      <c r="AA7" s="231" t="s">
        <v>25</v>
      </c>
      <c r="AB7" s="232" t="s">
        <v>14</v>
      </c>
      <c r="AC7" s="236" t="s">
        <v>20</v>
      </c>
      <c r="AD7" s="237" t="s">
        <v>12</v>
      </c>
      <c r="AE7" s="237" t="s">
        <v>13</v>
      </c>
      <c r="AF7" s="237" t="s">
        <v>25</v>
      </c>
      <c r="AG7" s="237" t="s">
        <v>14</v>
      </c>
      <c r="AH7" s="242" t="s">
        <v>70</v>
      </c>
      <c r="AI7" s="243" t="s">
        <v>12</v>
      </c>
      <c r="AJ7" s="243" t="s">
        <v>13</v>
      </c>
      <c r="AK7" s="243" t="s">
        <v>6</v>
      </c>
      <c r="AL7" s="243" t="s">
        <v>14</v>
      </c>
      <c r="AM7" s="243" t="s">
        <v>63</v>
      </c>
      <c r="AN7" s="243" t="s">
        <v>61</v>
      </c>
      <c r="AO7" s="243" t="s">
        <v>68</v>
      </c>
      <c r="AP7" s="244" t="s">
        <v>59</v>
      </c>
      <c r="AQ7" s="206" t="s">
        <v>39</v>
      </c>
      <c r="AR7" s="207" t="s">
        <v>40</v>
      </c>
      <c r="AS7" s="207" t="s">
        <v>0</v>
      </c>
      <c r="AT7" s="208" t="s">
        <v>59</v>
      </c>
      <c r="AU7" s="197" t="s">
        <v>70</v>
      </c>
      <c r="AV7" s="198" t="s">
        <v>12</v>
      </c>
      <c r="AW7" s="198" t="s">
        <v>13</v>
      </c>
      <c r="AX7" s="198" t="s">
        <v>6</v>
      </c>
      <c r="AY7" s="198" t="s">
        <v>14</v>
      </c>
      <c r="AZ7" s="198" t="s">
        <v>63</v>
      </c>
      <c r="BA7" s="198" t="s">
        <v>61</v>
      </c>
      <c r="BB7" s="198" t="s">
        <v>68</v>
      </c>
      <c r="BC7" s="199" t="s">
        <v>59</v>
      </c>
      <c r="BD7" s="253" t="s">
        <v>70</v>
      </c>
      <c r="BE7" s="254" t="s">
        <v>12</v>
      </c>
      <c r="BF7" s="254" t="s">
        <v>13</v>
      </c>
      <c r="BG7" s="254" t="s">
        <v>6</v>
      </c>
      <c r="BH7" s="254" t="s">
        <v>14</v>
      </c>
      <c r="BI7" s="254" t="s">
        <v>63</v>
      </c>
      <c r="BJ7" s="254" t="s">
        <v>61</v>
      </c>
      <c r="BK7" s="254" t="s">
        <v>107</v>
      </c>
      <c r="BL7" s="255" t="s">
        <v>59</v>
      </c>
      <c r="BM7" s="213" t="s">
        <v>70</v>
      </c>
      <c r="BN7" s="214" t="s">
        <v>12</v>
      </c>
      <c r="BO7" s="214" t="s">
        <v>13</v>
      </c>
      <c r="BP7" s="214" t="s">
        <v>6</v>
      </c>
      <c r="BQ7" s="214" t="s">
        <v>14</v>
      </c>
      <c r="BR7" s="214" t="s">
        <v>63</v>
      </c>
      <c r="BS7" s="214" t="s">
        <v>61</v>
      </c>
      <c r="BT7" s="214" t="s">
        <v>107</v>
      </c>
      <c r="BU7" s="303" t="s">
        <v>59</v>
      </c>
      <c r="BV7" s="313" t="s">
        <v>70</v>
      </c>
      <c r="BW7" s="314" t="s">
        <v>12</v>
      </c>
      <c r="BX7" s="314" t="s">
        <v>13</v>
      </c>
      <c r="BY7" s="314" t="s">
        <v>6</v>
      </c>
      <c r="BZ7" s="314" t="s">
        <v>14</v>
      </c>
      <c r="CA7" s="314" t="s">
        <v>63</v>
      </c>
      <c r="CB7" s="314" t="s">
        <v>61</v>
      </c>
      <c r="CC7" s="314" t="s">
        <v>107</v>
      </c>
      <c r="CD7" s="315" t="s">
        <v>59</v>
      </c>
      <c r="CE7" s="190" t="s">
        <v>39</v>
      </c>
      <c r="CF7" s="191" t="s">
        <v>40</v>
      </c>
      <c r="CG7" s="191" t="s">
        <v>0</v>
      </c>
      <c r="CH7" s="192" t="s">
        <v>59</v>
      </c>
      <c r="CI7" s="337" t="s">
        <v>70</v>
      </c>
      <c r="CJ7" s="338" t="s">
        <v>12</v>
      </c>
      <c r="CK7" s="338" t="s">
        <v>13</v>
      </c>
      <c r="CL7" s="338" t="s">
        <v>6</v>
      </c>
      <c r="CM7" s="338" t="s">
        <v>14</v>
      </c>
      <c r="CN7" s="338" t="s">
        <v>63</v>
      </c>
      <c r="CO7" s="338" t="s">
        <v>61</v>
      </c>
      <c r="CP7" s="338" t="s">
        <v>107</v>
      </c>
      <c r="CQ7" s="339" t="s">
        <v>59</v>
      </c>
      <c r="CR7" s="206" t="s">
        <v>70</v>
      </c>
      <c r="CS7" s="346" t="s">
        <v>12</v>
      </c>
      <c r="CT7" s="346" t="s">
        <v>13</v>
      </c>
      <c r="CU7" s="346" t="s">
        <v>6</v>
      </c>
      <c r="CV7" s="346" t="s">
        <v>14</v>
      </c>
      <c r="CW7" s="346" t="s">
        <v>63</v>
      </c>
      <c r="CX7" s="346" t="s">
        <v>61</v>
      </c>
      <c r="CY7" s="346" t="s">
        <v>107</v>
      </c>
      <c r="CZ7" s="208" t="s">
        <v>59</v>
      </c>
      <c r="DA7" s="368" t="s">
        <v>70</v>
      </c>
      <c r="DB7" s="369" t="s">
        <v>12</v>
      </c>
      <c r="DC7" s="369" t="s">
        <v>13</v>
      </c>
      <c r="DD7" s="369" t="s">
        <v>6</v>
      </c>
      <c r="DE7" s="369" t="s">
        <v>14</v>
      </c>
      <c r="DF7" s="369" t="s">
        <v>63</v>
      </c>
      <c r="DG7" s="369" t="s">
        <v>61</v>
      </c>
      <c r="DH7" s="369" t="s">
        <v>107</v>
      </c>
      <c r="DI7" s="370" t="s">
        <v>59</v>
      </c>
      <c r="DJ7" s="190" t="s">
        <v>39</v>
      </c>
      <c r="DK7" s="191" t="s">
        <v>40</v>
      </c>
      <c r="DL7" s="191" t="s">
        <v>0</v>
      </c>
      <c r="DM7" s="192" t="s">
        <v>59</v>
      </c>
      <c r="DN7" s="82"/>
    </row>
    <row r="8" spans="2:124" s="32" customFormat="1" ht="12.75">
      <c r="B8" s="8" t="s">
        <v>5</v>
      </c>
      <c r="C8" s="33" t="s">
        <v>3</v>
      </c>
      <c r="D8" s="29">
        <v>155</v>
      </c>
      <c r="E8" s="27">
        <v>358.3</v>
      </c>
      <c r="F8" s="27">
        <v>-321.7</v>
      </c>
      <c r="G8" s="27">
        <v>0</v>
      </c>
      <c r="H8" s="14">
        <f>SUM(E8:G8)</f>
        <v>36.60000000000002</v>
      </c>
      <c r="I8" s="29">
        <v>0</v>
      </c>
      <c r="J8" s="27">
        <v>15.54</v>
      </c>
      <c r="K8" s="27">
        <v>-47.54</v>
      </c>
      <c r="L8" s="27">
        <v>0</v>
      </c>
      <c r="M8" s="27">
        <v>-4.6</v>
      </c>
      <c r="N8" s="27">
        <v>0</v>
      </c>
      <c r="O8" s="14">
        <f>SUM(H8,J8:N8)</f>
        <v>2.3092638912203256E-14</v>
      </c>
      <c r="P8" s="12">
        <f aca="true" t="shared" si="0" ref="P8:P21">SUM(D8,E8,I8,J8)</f>
        <v>528.8399999999999</v>
      </c>
      <c r="Q8" s="13">
        <f aca="true" t="shared" si="1" ref="Q8:Q21">SUM(D8,I8)+SUM(F8,K8,M8)*-1</f>
        <v>528.84</v>
      </c>
      <c r="R8" s="34">
        <f>SUM(P8-Q8)+0.1</f>
        <v>0.09999999999988632</v>
      </c>
      <c r="S8" s="29">
        <v>0</v>
      </c>
      <c r="T8" s="27">
        <v>0</v>
      </c>
      <c r="U8" s="27">
        <v>-0.05</v>
      </c>
      <c r="V8" s="27">
        <v>0</v>
      </c>
      <c r="W8" s="14">
        <f aca="true" t="shared" si="2" ref="W8:W21">SUM(R8,T8:V8)</f>
        <v>0.049999999999886316</v>
      </c>
      <c r="X8" s="29">
        <v>0</v>
      </c>
      <c r="Y8" s="27">
        <v>0</v>
      </c>
      <c r="Z8" s="27">
        <v>0</v>
      </c>
      <c r="AA8" s="27">
        <v>0</v>
      </c>
      <c r="AB8" s="14">
        <f aca="true" t="shared" si="3" ref="AB8:AB21">SUM(W8,Y8:AA8)</f>
        <v>0.049999999999886316</v>
      </c>
      <c r="AC8" s="29">
        <v>0</v>
      </c>
      <c r="AD8" s="27">
        <v>0.05</v>
      </c>
      <c r="AE8" s="27">
        <v>-0.05</v>
      </c>
      <c r="AF8" s="27">
        <v>0</v>
      </c>
      <c r="AG8" s="16">
        <f aca="true" t="shared" si="4" ref="AG8:AG21">SUM(AB8,AD8:AF8)</f>
        <v>0.049999999999886316</v>
      </c>
      <c r="AH8" s="29">
        <v>0</v>
      </c>
      <c r="AI8" s="58">
        <v>-0.049</v>
      </c>
      <c r="AJ8" s="27">
        <v>0</v>
      </c>
      <c r="AK8" s="27">
        <v>-0.001</v>
      </c>
      <c r="AL8" s="154">
        <f aca="true" t="shared" si="5" ref="AL8:AL21">SUM(AG8,AI8:AK8)</f>
        <v>-1.1368597035987804E-13</v>
      </c>
      <c r="AM8" s="27">
        <v>0</v>
      </c>
      <c r="AN8" s="27">
        <v>0</v>
      </c>
      <c r="AO8" s="27">
        <v>0</v>
      </c>
      <c r="AP8" s="14">
        <f>SUM(AM8:AO8)</f>
        <v>0</v>
      </c>
      <c r="AQ8" s="57">
        <f>SUM(P8,S8,T8,V8,X8,Y8,AA8,AC8,AD8,AF8,AH8,AI8,AK8,AM8,AO8)</f>
        <v>528.8399999999999</v>
      </c>
      <c r="AR8" s="58">
        <f>SUM(Q8)+(S8+X8+AC8+AH8)+SUM((U8+Z8+AE8+AJ8+AN8)*-1)</f>
        <v>528.94</v>
      </c>
      <c r="AS8" s="58">
        <f>SUM(AQ8-AR8)+0.1</f>
        <v>-1.364186541508161E-13</v>
      </c>
      <c r="AT8" s="92">
        <f>SUM(AP8)</f>
        <v>0</v>
      </c>
      <c r="AU8" s="57">
        <v>0</v>
      </c>
      <c r="AV8" s="58">
        <v>0</v>
      </c>
      <c r="AW8" s="58">
        <v>0</v>
      </c>
      <c r="AX8" s="58">
        <v>0</v>
      </c>
      <c r="AY8" s="70">
        <f>SUM(AS8,AV8:AX8)</f>
        <v>-1.364186541508161E-13</v>
      </c>
      <c r="AZ8" s="58">
        <v>0</v>
      </c>
      <c r="BA8" s="58">
        <v>0</v>
      </c>
      <c r="BB8" s="58">
        <v>0</v>
      </c>
      <c r="BC8" s="59">
        <f>SUM(AZ8:BB8)</f>
        <v>0</v>
      </c>
      <c r="BD8" s="257">
        <v>0</v>
      </c>
      <c r="BE8" s="157">
        <v>0</v>
      </c>
      <c r="BF8" s="157">
        <v>0</v>
      </c>
      <c r="BG8" s="157">
        <v>0</v>
      </c>
      <c r="BH8" s="284">
        <f>SUM(AY8,BE8:BG8)</f>
        <v>-1.364186541508161E-13</v>
      </c>
      <c r="BI8" s="157">
        <v>0</v>
      </c>
      <c r="BJ8" s="157">
        <v>0</v>
      </c>
      <c r="BK8" s="157">
        <v>0</v>
      </c>
      <c r="BL8" s="259">
        <f>SUM(BI8:BK8)</f>
        <v>0</v>
      </c>
      <c r="BM8" s="257">
        <v>0</v>
      </c>
      <c r="BN8" s="157">
        <v>0</v>
      </c>
      <c r="BO8" s="157">
        <v>0</v>
      </c>
      <c r="BP8" s="157">
        <v>0</v>
      </c>
      <c r="BQ8" s="284">
        <f>SUM(BH8,BN8:BP8)</f>
        <v>-1.364186541508161E-13</v>
      </c>
      <c r="BR8" s="157">
        <v>0</v>
      </c>
      <c r="BS8" s="157">
        <v>0</v>
      </c>
      <c r="BT8" s="157">
        <v>0</v>
      </c>
      <c r="BU8" s="259">
        <f>SUM(BR8:BT8)</f>
        <v>0</v>
      </c>
      <c r="BV8" s="159">
        <v>0</v>
      </c>
      <c r="BW8" s="260">
        <v>0</v>
      </c>
      <c r="BX8" s="260">
        <v>0</v>
      </c>
      <c r="BY8" s="260">
        <v>0</v>
      </c>
      <c r="BZ8" s="284">
        <f>SUM(BQ8,BW8:BY8)</f>
        <v>-1.364186541508161E-13</v>
      </c>
      <c r="CA8" s="260">
        <v>0</v>
      </c>
      <c r="CB8" s="260">
        <v>0</v>
      </c>
      <c r="CC8" s="260">
        <v>0</v>
      </c>
      <c r="CD8" s="162">
        <f>SUM(CA8:CC8)</f>
        <v>0</v>
      </c>
      <c r="CE8" s="257">
        <f>SUM(AQ8,AU8,AV8,AX8,BD8,BE8,BG8,BM8,BN8,BP8,BV8,BW8,BY8)</f>
        <v>528.8399999999999</v>
      </c>
      <c r="CF8" s="157">
        <f>SUM(AR8-AW8-BF8-BO8-BX8)</f>
        <v>528.94</v>
      </c>
      <c r="CG8" s="157">
        <f>SUM(CE8-CF8)+0.1</f>
        <v>-1.364186541508161E-13</v>
      </c>
      <c r="CH8" s="160">
        <f>SUM(CD8)</f>
        <v>0</v>
      </c>
      <c r="CI8" s="159">
        <v>0</v>
      </c>
      <c r="CJ8" s="260">
        <v>0</v>
      </c>
      <c r="CK8" s="260">
        <v>0</v>
      </c>
      <c r="CL8" s="260">
        <v>0</v>
      </c>
      <c r="CM8" s="284">
        <f aca="true" t="shared" si="6" ref="CM8:CM21">SUM(CG8,CJ8,CK8,CL8)</f>
        <v>-1.364186541508161E-13</v>
      </c>
      <c r="CN8" s="260">
        <v>0</v>
      </c>
      <c r="CO8" s="260">
        <v>0</v>
      </c>
      <c r="CP8" s="260">
        <v>0</v>
      </c>
      <c r="CQ8" s="162">
        <f>SUM(CN8:CP8)</f>
        <v>0</v>
      </c>
      <c r="CR8" s="159">
        <v>0</v>
      </c>
      <c r="CS8" s="260">
        <v>0</v>
      </c>
      <c r="CT8" s="260">
        <v>0</v>
      </c>
      <c r="CU8" s="260">
        <v>0</v>
      </c>
      <c r="CV8" s="284">
        <f aca="true" t="shared" si="7" ref="CV8:CV21">SUM(CP8,CS8,CT8,CU8)</f>
        <v>0</v>
      </c>
      <c r="CW8" s="260">
        <v>0</v>
      </c>
      <c r="CX8" s="260">
        <v>0</v>
      </c>
      <c r="CY8" s="260">
        <v>0</v>
      </c>
      <c r="CZ8" s="162">
        <f>SUM(CW8:CY8)</f>
        <v>0</v>
      </c>
      <c r="DA8" s="159">
        <v>0</v>
      </c>
      <c r="DB8" s="260">
        <v>0</v>
      </c>
      <c r="DC8" s="260">
        <v>0</v>
      </c>
      <c r="DD8" s="260">
        <v>0</v>
      </c>
      <c r="DE8" s="284">
        <f>SUM(CV8,DB8,DC8,DD8)</f>
        <v>0</v>
      </c>
      <c r="DF8" s="260">
        <v>0</v>
      </c>
      <c r="DG8" s="260">
        <v>0</v>
      </c>
      <c r="DH8" s="260">
        <v>0</v>
      </c>
      <c r="DI8" s="162">
        <f aca="true" t="shared" si="8" ref="DI8:DI21">SUM(CZ8,DF8,DG8,DH8)</f>
        <v>0</v>
      </c>
      <c r="DJ8" s="159">
        <f>SUM(CE8,CI8,CJ8,CN8,CL8,CP8,CR8,CS8,CU8,CW8,CY8,DA8,DB8,DD8,DF8,DH8)</f>
        <v>528.8399999999999</v>
      </c>
      <c r="DK8" s="260">
        <f>SUM(CF8+CI8-CK8-CO8+CR8-CT8-CX8+DA8-DC8-DG8)</f>
        <v>528.94</v>
      </c>
      <c r="DL8" s="260">
        <f>SUM(DJ8-DK8)+0.1</f>
        <v>-1.364186541508161E-13</v>
      </c>
      <c r="DM8" s="160">
        <f>SUM(DI8)</f>
        <v>0</v>
      </c>
      <c r="DN8" s="84"/>
      <c r="DO8" s="80"/>
      <c r="DP8" s="80"/>
      <c r="DQ8" s="80"/>
      <c r="DR8" s="80"/>
      <c r="DS8" s="80"/>
      <c r="DT8" s="80"/>
    </row>
    <row r="9" spans="2:124" s="32" customFormat="1" ht="12.75">
      <c r="B9" s="8" t="s">
        <v>5</v>
      </c>
      <c r="C9" s="33" t="s">
        <v>4</v>
      </c>
      <c r="D9" s="29">
        <v>459</v>
      </c>
      <c r="E9" s="27">
        <v>1179</v>
      </c>
      <c r="F9" s="27">
        <v>-1016.5</v>
      </c>
      <c r="G9" s="27">
        <v>0</v>
      </c>
      <c r="H9" s="14">
        <f aca="true" t="shared" si="9" ref="H9:H72">SUM(E9:G9)</f>
        <v>162.5</v>
      </c>
      <c r="I9" s="29">
        <v>0</v>
      </c>
      <c r="J9" s="27">
        <f>94.74+0.11</f>
        <v>94.85</v>
      </c>
      <c r="K9" s="27">
        <v>-245.98</v>
      </c>
      <c r="L9" s="27">
        <v>0</v>
      </c>
      <c r="M9" s="27">
        <v>-11.37</v>
      </c>
      <c r="N9" s="27">
        <v>0</v>
      </c>
      <c r="O9" s="14">
        <f aca="true" t="shared" si="10" ref="O9:O67">SUM(H9,J9:N9)</f>
        <v>3.375077994860476E-14</v>
      </c>
      <c r="P9" s="12">
        <f t="shared" si="0"/>
        <v>1732.85</v>
      </c>
      <c r="Q9" s="13">
        <f t="shared" si="1"/>
        <v>1732.85</v>
      </c>
      <c r="R9" s="34">
        <f aca="true" t="shared" si="11" ref="R9:R21">SUM(P9-Q9)</f>
        <v>0</v>
      </c>
      <c r="S9" s="29">
        <v>0</v>
      </c>
      <c r="T9" s="27">
        <v>12.5</v>
      </c>
      <c r="U9" s="27">
        <v>-12.5</v>
      </c>
      <c r="V9" s="27">
        <v>0</v>
      </c>
      <c r="W9" s="14">
        <f t="shared" si="2"/>
        <v>0</v>
      </c>
      <c r="X9" s="29">
        <v>0</v>
      </c>
      <c r="Y9" s="58">
        <v>0</v>
      </c>
      <c r="Z9" s="27">
        <v>0</v>
      </c>
      <c r="AA9" s="27">
        <v>0</v>
      </c>
      <c r="AB9" s="14">
        <f t="shared" si="3"/>
        <v>0</v>
      </c>
      <c r="AC9" s="29">
        <v>0</v>
      </c>
      <c r="AD9" s="27">
        <v>5</v>
      </c>
      <c r="AE9" s="27">
        <v>-5</v>
      </c>
      <c r="AF9" s="27">
        <v>0</v>
      </c>
      <c r="AG9" s="16">
        <f t="shared" si="4"/>
        <v>0</v>
      </c>
      <c r="AH9" s="29">
        <v>0</v>
      </c>
      <c r="AI9" s="58">
        <v>0</v>
      </c>
      <c r="AJ9" s="27">
        <v>0</v>
      </c>
      <c r="AK9" s="27">
        <v>0</v>
      </c>
      <c r="AL9" s="154">
        <f t="shared" si="5"/>
        <v>0</v>
      </c>
      <c r="AM9" s="27">
        <v>0</v>
      </c>
      <c r="AN9" s="27">
        <v>0</v>
      </c>
      <c r="AO9" s="27">
        <v>0</v>
      </c>
      <c r="AP9" s="14">
        <f aca="true" t="shared" si="12" ref="AP9:AP21">SUM(AM9:AO9)</f>
        <v>0</v>
      </c>
      <c r="AQ9" s="57">
        <f aca="true" t="shared" si="13" ref="AQ9:AQ21">SUM(P9,S9,T9,V9,X9,Y9,AA9,AC9,AD9,AF9,AH9,AI9,AK9,AM9,AO9)</f>
        <v>1750.35</v>
      </c>
      <c r="AR9" s="58">
        <f aca="true" t="shared" si="14" ref="AR9:AR21">SUM(Q9)+(S9+X9+AC9+AH9)+SUM((U9+Z9+AE9+AJ9+AN9)*-1)</f>
        <v>1750.35</v>
      </c>
      <c r="AS9" s="58">
        <f aca="true" t="shared" si="15" ref="AS9:AS21">SUM(AQ9-AR9)</f>
        <v>0</v>
      </c>
      <c r="AT9" s="92">
        <f aca="true" t="shared" si="16" ref="AT9:AT21">SUM(AP9)</f>
        <v>0</v>
      </c>
      <c r="AU9" s="57">
        <v>0</v>
      </c>
      <c r="AV9" s="58">
        <v>0</v>
      </c>
      <c r="AW9" s="58">
        <v>0</v>
      </c>
      <c r="AX9" s="58">
        <v>0</v>
      </c>
      <c r="AY9" s="70">
        <f aca="true" t="shared" si="17" ref="AY9:AY21">SUM(AS9,AV9:AX9)</f>
        <v>0</v>
      </c>
      <c r="AZ9" s="58">
        <v>0</v>
      </c>
      <c r="BA9" s="58">
        <v>0</v>
      </c>
      <c r="BB9" s="58">
        <v>0</v>
      </c>
      <c r="BC9" s="59">
        <f aca="true" t="shared" si="18" ref="BC9:BC21">SUM(AZ9:BB9)</f>
        <v>0</v>
      </c>
      <c r="BD9" s="257">
        <v>0</v>
      </c>
      <c r="BE9" s="157">
        <v>0</v>
      </c>
      <c r="BF9" s="157">
        <v>0</v>
      </c>
      <c r="BG9" s="157">
        <v>0</v>
      </c>
      <c r="BH9" s="284">
        <f aca="true" t="shared" si="19" ref="BH9:BH21">SUM(AY9,BE9:BG9)</f>
        <v>0</v>
      </c>
      <c r="BI9" s="157">
        <v>0</v>
      </c>
      <c r="BJ9" s="157">
        <v>0</v>
      </c>
      <c r="BK9" s="157">
        <v>0</v>
      </c>
      <c r="BL9" s="259">
        <f aca="true" t="shared" si="20" ref="BL9:BL21">SUM(BI9:BK9)</f>
        <v>0</v>
      </c>
      <c r="BM9" s="257">
        <v>0</v>
      </c>
      <c r="BN9" s="157">
        <v>0</v>
      </c>
      <c r="BO9" s="157">
        <v>0</v>
      </c>
      <c r="BP9" s="157">
        <v>0</v>
      </c>
      <c r="BQ9" s="284">
        <f aca="true" t="shared" si="21" ref="BQ9:BQ21">SUM(BH9,BN9:BP9)</f>
        <v>0</v>
      </c>
      <c r="BR9" s="157">
        <v>0</v>
      </c>
      <c r="BS9" s="157">
        <v>0</v>
      </c>
      <c r="BT9" s="157">
        <v>0</v>
      </c>
      <c r="BU9" s="259">
        <f aca="true" t="shared" si="22" ref="BU9:BU21">SUM(BR9:BT9)</f>
        <v>0</v>
      </c>
      <c r="BV9" s="159">
        <v>0</v>
      </c>
      <c r="BW9" s="260">
        <v>0</v>
      </c>
      <c r="BX9" s="260">
        <v>0</v>
      </c>
      <c r="BY9" s="260">
        <v>0</v>
      </c>
      <c r="BZ9" s="284">
        <f aca="true" t="shared" si="23" ref="BZ9:BZ21">SUM(BQ9,BW9:BY9)</f>
        <v>0</v>
      </c>
      <c r="CA9" s="260">
        <v>0</v>
      </c>
      <c r="CB9" s="260">
        <v>0</v>
      </c>
      <c r="CC9" s="260">
        <v>0</v>
      </c>
      <c r="CD9" s="162">
        <f aca="true" t="shared" si="24" ref="CD9:CD21">SUM(CA9:CC9)</f>
        <v>0</v>
      </c>
      <c r="CE9" s="257">
        <f aca="true" t="shared" si="25" ref="CE9:CE21">SUM(AQ9,AU9,AV9,AX9,BD9,BE9,BG9,BM9,BN9,BP9,BV9,BW9,BY9)</f>
        <v>1750.35</v>
      </c>
      <c r="CF9" s="157">
        <f aca="true" t="shared" si="26" ref="CF9:CF21">SUM(AR9-AW9-BF9-BO9-BX9)</f>
        <v>1750.35</v>
      </c>
      <c r="CG9" s="157">
        <f>SUM(CE9-CF9)</f>
        <v>0</v>
      </c>
      <c r="CH9" s="160">
        <f aca="true" t="shared" si="27" ref="CH9:CH21">SUM(CD9)</f>
        <v>0</v>
      </c>
      <c r="CI9" s="159">
        <v>0</v>
      </c>
      <c r="CJ9" s="260">
        <v>0</v>
      </c>
      <c r="CK9" s="260">
        <v>0</v>
      </c>
      <c r="CL9" s="260">
        <v>0</v>
      </c>
      <c r="CM9" s="284">
        <f t="shared" si="6"/>
        <v>0</v>
      </c>
      <c r="CN9" s="260">
        <v>0</v>
      </c>
      <c r="CO9" s="260">
        <v>0</v>
      </c>
      <c r="CP9" s="260">
        <v>0</v>
      </c>
      <c r="CQ9" s="162">
        <f aca="true" t="shared" si="28" ref="CQ9:CQ21">SUM(CN9:CP9)</f>
        <v>0</v>
      </c>
      <c r="CR9" s="159">
        <v>0</v>
      </c>
      <c r="CS9" s="260">
        <v>0</v>
      </c>
      <c r="CT9" s="260">
        <v>0</v>
      </c>
      <c r="CU9" s="260">
        <v>0</v>
      </c>
      <c r="CV9" s="284">
        <f t="shared" si="7"/>
        <v>0</v>
      </c>
      <c r="CW9" s="260">
        <v>0</v>
      </c>
      <c r="CX9" s="260">
        <v>0</v>
      </c>
      <c r="CY9" s="260">
        <v>0</v>
      </c>
      <c r="CZ9" s="162">
        <f aca="true" t="shared" si="29" ref="CZ9:CZ21">SUM(CW9:CY9)</f>
        <v>0</v>
      </c>
      <c r="DA9" s="159">
        <v>0</v>
      </c>
      <c r="DB9" s="260">
        <v>0</v>
      </c>
      <c r="DC9" s="260">
        <v>0</v>
      </c>
      <c r="DD9" s="260">
        <v>0</v>
      </c>
      <c r="DE9" s="284">
        <f aca="true" t="shared" si="30" ref="DE9:DE21">SUM(CV9,DB9,DC9,DD9)</f>
        <v>0</v>
      </c>
      <c r="DF9" s="260">
        <v>0</v>
      </c>
      <c r="DG9" s="260">
        <v>0</v>
      </c>
      <c r="DH9" s="260">
        <v>0</v>
      </c>
      <c r="DI9" s="162">
        <f t="shared" si="8"/>
        <v>0</v>
      </c>
      <c r="DJ9" s="159">
        <f aca="true" t="shared" si="31" ref="DJ9:DJ21">SUM(CE9,CI9,CJ9,CN9,CL9,CP9,CR9,CS9,CU9,CW9,CY9,DA9,DB9,DD9,DF9,DH9)</f>
        <v>1750.35</v>
      </c>
      <c r="DK9" s="260">
        <f aca="true" t="shared" si="32" ref="DK9:DK21">SUM(CF9+CI9-CK9-CO9+CR9-CT9-CX9+DA9-DC9-DG9)</f>
        <v>1750.35</v>
      </c>
      <c r="DL9" s="260">
        <f>SUM(DJ9-DK9)</f>
        <v>0</v>
      </c>
      <c r="DM9" s="160">
        <f aca="true" t="shared" si="33" ref="DM9:DM21">SUM(DI9)</f>
        <v>0</v>
      </c>
      <c r="DN9" s="84"/>
      <c r="DO9" s="80"/>
      <c r="DP9" s="80"/>
      <c r="DQ9" s="80"/>
      <c r="DR9" s="80"/>
      <c r="DS9" s="80"/>
      <c r="DT9" s="80"/>
    </row>
    <row r="10" spans="2:124" s="32" customFormat="1" ht="12.75">
      <c r="B10" s="8" t="s">
        <v>5</v>
      </c>
      <c r="C10" s="38" t="s">
        <v>5</v>
      </c>
      <c r="D10" s="29">
        <v>1374</v>
      </c>
      <c r="E10" s="27">
        <v>8536.8</v>
      </c>
      <c r="F10" s="27">
        <v>-7888.4</v>
      </c>
      <c r="G10" s="27">
        <v>0</v>
      </c>
      <c r="H10" s="14">
        <f t="shared" si="9"/>
        <v>648.3999999999996</v>
      </c>
      <c r="I10" s="29">
        <v>84.7</v>
      </c>
      <c r="J10" s="27">
        <v>388.59</v>
      </c>
      <c r="K10" s="27">
        <v>-947.99</v>
      </c>
      <c r="L10" s="27">
        <v>0</v>
      </c>
      <c r="M10" s="27">
        <v>0</v>
      </c>
      <c r="N10" s="27">
        <v>0</v>
      </c>
      <c r="O10" s="14">
        <f t="shared" si="10"/>
        <v>88.99999999999955</v>
      </c>
      <c r="P10" s="12">
        <f t="shared" si="0"/>
        <v>10384.09</v>
      </c>
      <c r="Q10" s="13">
        <f>SUM(D10,I10)+SUM(F10,K10,M10)*-1</f>
        <v>10295.09</v>
      </c>
      <c r="R10" s="34">
        <f t="shared" si="11"/>
        <v>89</v>
      </c>
      <c r="S10" s="29">
        <v>0</v>
      </c>
      <c r="T10" s="27">
        <v>58.5</v>
      </c>
      <c r="U10" s="27">
        <v>-19.9</v>
      </c>
      <c r="V10" s="27">
        <v>0</v>
      </c>
      <c r="W10" s="14">
        <f t="shared" si="2"/>
        <v>127.6</v>
      </c>
      <c r="X10" s="29">
        <v>0</v>
      </c>
      <c r="Y10" s="64">
        <v>-43</v>
      </c>
      <c r="Z10" s="58">
        <v>41.346</v>
      </c>
      <c r="AA10" s="27">
        <v>0</v>
      </c>
      <c r="AB10" s="14">
        <f t="shared" si="3"/>
        <v>125.946</v>
      </c>
      <c r="AC10" s="29">
        <v>2.3</v>
      </c>
      <c r="AD10" s="6">
        <f>-18.6-2.3</f>
        <v>-20.900000000000002</v>
      </c>
      <c r="AE10" s="27">
        <f>-7.8+2.3</f>
        <v>-5.5</v>
      </c>
      <c r="AF10" s="27">
        <v>0</v>
      </c>
      <c r="AG10" s="16">
        <f t="shared" si="4"/>
        <v>99.54599999999999</v>
      </c>
      <c r="AH10" s="29">
        <v>6.22</v>
      </c>
      <c r="AI10" s="58">
        <v>39.047</v>
      </c>
      <c r="AJ10" s="27">
        <v>-11.1</v>
      </c>
      <c r="AK10" s="27">
        <v>0</v>
      </c>
      <c r="AL10" s="155">
        <f t="shared" si="5"/>
        <v>127.493</v>
      </c>
      <c r="AM10" s="58">
        <v>0</v>
      </c>
      <c r="AN10" s="58">
        <v>0</v>
      </c>
      <c r="AO10" s="58">
        <v>0</v>
      </c>
      <c r="AP10" s="14">
        <f t="shared" si="12"/>
        <v>0</v>
      </c>
      <c r="AQ10" s="57">
        <f t="shared" si="13"/>
        <v>10426.257</v>
      </c>
      <c r="AR10" s="58">
        <f t="shared" si="14"/>
        <v>10298.764000000001</v>
      </c>
      <c r="AS10" s="58">
        <f t="shared" si="15"/>
        <v>127.49299999999857</v>
      </c>
      <c r="AT10" s="92">
        <f t="shared" si="16"/>
        <v>0</v>
      </c>
      <c r="AU10" s="57">
        <v>0</v>
      </c>
      <c r="AV10" s="27">
        <v>-5.927</v>
      </c>
      <c r="AW10" s="27">
        <v>-23.341</v>
      </c>
      <c r="AX10" s="58">
        <v>0</v>
      </c>
      <c r="AY10" s="70">
        <f t="shared" si="17"/>
        <v>98.22499999999857</v>
      </c>
      <c r="AZ10" s="58">
        <v>0</v>
      </c>
      <c r="BA10" s="58">
        <v>0</v>
      </c>
      <c r="BB10" s="58">
        <v>0</v>
      </c>
      <c r="BC10" s="59">
        <f t="shared" si="18"/>
        <v>0</v>
      </c>
      <c r="BD10" s="257">
        <v>0</v>
      </c>
      <c r="BE10" s="293">
        <f>-25.24</f>
        <v>-25.24</v>
      </c>
      <c r="BF10" s="293">
        <f>-17.139-0.046</f>
        <v>-17.185</v>
      </c>
      <c r="BG10" s="157">
        <v>0.3</v>
      </c>
      <c r="BH10" s="284">
        <f t="shared" si="19"/>
        <v>56.09999999999857</v>
      </c>
      <c r="BI10" s="157">
        <v>0</v>
      </c>
      <c r="BJ10" s="157">
        <v>0</v>
      </c>
      <c r="BK10" s="157">
        <v>0</v>
      </c>
      <c r="BL10" s="259">
        <f t="shared" si="20"/>
        <v>0</v>
      </c>
      <c r="BM10" s="257">
        <v>0</v>
      </c>
      <c r="BN10" s="293">
        <v>-5.9</v>
      </c>
      <c r="BO10" s="260">
        <v>-18.501106</v>
      </c>
      <c r="BP10" s="157">
        <f>3.1+15.1</f>
        <v>18.2</v>
      </c>
      <c r="BQ10" s="284">
        <f t="shared" si="21"/>
        <v>49.89889399999858</v>
      </c>
      <c r="BR10" s="157">
        <v>0</v>
      </c>
      <c r="BS10" s="157">
        <v>0</v>
      </c>
      <c r="BT10" s="157">
        <v>0</v>
      </c>
      <c r="BU10" s="259">
        <f t="shared" si="22"/>
        <v>0</v>
      </c>
      <c r="BV10" s="159">
        <v>0</v>
      </c>
      <c r="BW10" s="260">
        <v>0</v>
      </c>
      <c r="BX10" s="308">
        <v>-14.841295</v>
      </c>
      <c r="BY10" s="260">
        <v>0</v>
      </c>
      <c r="BZ10" s="284">
        <f t="shared" si="23"/>
        <v>35.057598999998575</v>
      </c>
      <c r="CA10" s="260">
        <v>0</v>
      </c>
      <c r="CB10" s="260">
        <v>0</v>
      </c>
      <c r="CC10" s="260">
        <v>0</v>
      </c>
      <c r="CD10" s="162">
        <f t="shared" si="24"/>
        <v>0</v>
      </c>
      <c r="CE10" s="257">
        <f t="shared" si="25"/>
        <v>10407.69</v>
      </c>
      <c r="CF10" s="157">
        <f t="shared" si="26"/>
        <v>10372.632401</v>
      </c>
      <c r="CG10" s="157">
        <f aca="true" t="shared" si="34" ref="CG10:CG21">SUM(CE10-CF10)</f>
        <v>35.057598999999755</v>
      </c>
      <c r="CH10" s="160">
        <f t="shared" si="27"/>
        <v>0</v>
      </c>
      <c r="CI10" s="159">
        <v>0</v>
      </c>
      <c r="CJ10" s="260">
        <v>0</v>
      </c>
      <c r="CK10" s="308">
        <v>-10.586</v>
      </c>
      <c r="CL10" s="260">
        <v>0</v>
      </c>
      <c r="CM10" s="284">
        <f t="shared" si="6"/>
        <v>24.471598999999756</v>
      </c>
      <c r="CN10" s="260">
        <v>0</v>
      </c>
      <c r="CO10" s="260">
        <v>0</v>
      </c>
      <c r="CP10" s="260">
        <v>0</v>
      </c>
      <c r="CQ10" s="162">
        <f t="shared" si="28"/>
        <v>0</v>
      </c>
      <c r="CR10" s="159">
        <v>0</v>
      </c>
      <c r="CS10" s="260">
        <v>0</v>
      </c>
      <c r="CT10" s="308">
        <v>-0.368</v>
      </c>
      <c r="CU10" s="260">
        <v>0</v>
      </c>
      <c r="CV10" s="284">
        <f t="shared" si="7"/>
        <v>-0.368</v>
      </c>
      <c r="CW10" s="260">
        <v>0</v>
      </c>
      <c r="CX10" s="260">
        <v>0</v>
      </c>
      <c r="CY10" s="260">
        <v>0</v>
      </c>
      <c r="CZ10" s="162">
        <f t="shared" si="29"/>
        <v>0</v>
      </c>
      <c r="DA10" s="159">
        <v>0</v>
      </c>
      <c r="DB10" s="260">
        <f>SUM(DB16*-1)</f>
        <v>14.598</v>
      </c>
      <c r="DC10" s="308">
        <v>-5.754333</v>
      </c>
      <c r="DD10" s="260">
        <v>0</v>
      </c>
      <c r="DE10" s="284">
        <f t="shared" si="30"/>
        <v>8.475667000000001</v>
      </c>
      <c r="DF10" s="260">
        <v>0</v>
      </c>
      <c r="DG10" s="260">
        <v>0</v>
      </c>
      <c r="DH10" s="260">
        <v>0</v>
      </c>
      <c r="DI10" s="162">
        <f t="shared" si="8"/>
        <v>0</v>
      </c>
      <c r="DJ10" s="159">
        <f t="shared" si="31"/>
        <v>10422.288</v>
      </c>
      <c r="DK10" s="260">
        <f t="shared" si="32"/>
        <v>10389.340734000001</v>
      </c>
      <c r="DL10" s="260">
        <f aca="true" t="shared" si="35" ref="DL10:DL21">SUM(DJ10-DK10)</f>
        <v>32.94726599999922</v>
      </c>
      <c r="DM10" s="160">
        <f t="shared" si="33"/>
        <v>0</v>
      </c>
      <c r="DN10" s="84"/>
      <c r="DO10" s="80"/>
      <c r="DP10" s="80"/>
      <c r="DQ10" s="80"/>
      <c r="DR10" s="80"/>
      <c r="DS10" s="80"/>
      <c r="DT10" s="80"/>
    </row>
    <row r="11" spans="2:124" s="32" customFormat="1" ht="12.75">
      <c r="B11" s="8" t="s">
        <v>5</v>
      </c>
      <c r="C11" s="38" t="s">
        <v>19</v>
      </c>
      <c r="D11" s="29">
        <v>293</v>
      </c>
      <c r="E11" s="27">
        <f>628-8.9</f>
        <v>619.1</v>
      </c>
      <c r="F11" s="27">
        <f>-566.9+7.1</f>
        <v>-559.8</v>
      </c>
      <c r="G11" s="27">
        <v>0</v>
      </c>
      <c r="H11" s="14">
        <f t="shared" si="9"/>
        <v>59.30000000000007</v>
      </c>
      <c r="I11" s="29">
        <v>0</v>
      </c>
      <c r="J11" s="27">
        <f>-78.73+14+1.8</f>
        <v>-62.93000000000001</v>
      </c>
      <c r="K11" s="27">
        <f>39.22-14</f>
        <v>25.22</v>
      </c>
      <c r="L11" s="27">
        <v>0</v>
      </c>
      <c r="M11" s="27">
        <v>0</v>
      </c>
      <c r="N11" s="27">
        <v>0</v>
      </c>
      <c r="O11" s="14">
        <f t="shared" si="10"/>
        <v>21.59000000000006</v>
      </c>
      <c r="P11" s="12">
        <f t="shared" si="0"/>
        <v>849.1700000000001</v>
      </c>
      <c r="Q11" s="13">
        <f t="shared" si="1"/>
        <v>827.5799999999999</v>
      </c>
      <c r="R11" s="34">
        <f t="shared" si="11"/>
        <v>21.590000000000146</v>
      </c>
      <c r="S11" s="57">
        <v>0</v>
      </c>
      <c r="T11" s="27">
        <v>11.2</v>
      </c>
      <c r="U11" s="27">
        <v>-4.5</v>
      </c>
      <c r="V11" s="58">
        <v>0</v>
      </c>
      <c r="W11" s="59">
        <f t="shared" si="2"/>
        <v>28.29000000000015</v>
      </c>
      <c r="X11" s="57">
        <v>0</v>
      </c>
      <c r="Y11" s="64">
        <v>-1.859</v>
      </c>
      <c r="Z11" s="58">
        <v>4.359</v>
      </c>
      <c r="AA11" s="58">
        <v>0</v>
      </c>
      <c r="AB11" s="59">
        <f t="shared" si="3"/>
        <v>30.79000000000015</v>
      </c>
      <c r="AC11" s="57">
        <v>0</v>
      </c>
      <c r="AD11" s="6">
        <v>-5.2</v>
      </c>
      <c r="AE11" s="27">
        <v>-0.9</v>
      </c>
      <c r="AF11" s="58">
        <v>0</v>
      </c>
      <c r="AG11" s="70">
        <f t="shared" si="4"/>
        <v>24.69000000000015</v>
      </c>
      <c r="AH11" s="57">
        <v>0</v>
      </c>
      <c r="AI11" s="58">
        <v>14.994</v>
      </c>
      <c r="AJ11" s="58">
        <v>-11.306</v>
      </c>
      <c r="AK11" s="58">
        <v>0</v>
      </c>
      <c r="AL11" s="155">
        <f t="shared" si="5"/>
        <v>28.378000000000156</v>
      </c>
      <c r="AM11" s="58">
        <v>0</v>
      </c>
      <c r="AN11" s="58">
        <v>0</v>
      </c>
      <c r="AO11" s="58">
        <v>0</v>
      </c>
      <c r="AP11" s="14">
        <f t="shared" si="12"/>
        <v>0</v>
      </c>
      <c r="AQ11" s="57">
        <f t="shared" si="13"/>
        <v>868.3050000000001</v>
      </c>
      <c r="AR11" s="58">
        <f t="shared" si="14"/>
        <v>839.9269999999999</v>
      </c>
      <c r="AS11" s="58">
        <f t="shared" si="15"/>
        <v>28.378000000000156</v>
      </c>
      <c r="AT11" s="92">
        <f t="shared" si="16"/>
        <v>0</v>
      </c>
      <c r="AU11" s="57">
        <v>0</v>
      </c>
      <c r="AV11" s="27">
        <v>8.224</v>
      </c>
      <c r="AW11" s="27">
        <v>6.206</v>
      </c>
      <c r="AX11" s="58">
        <v>0</v>
      </c>
      <c r="AY11" s="70">
        <f t="shared" si="17"/>
        <v>42.80800000000016</v>
      </c>
      <c r="AZ11" s="58">
        <v>0</v>
      </c>
      <c r="BA11" s="58">
        <v>0</v>
      </c>
      <c r="BB11" s="58">
        <v>0</v>
      </c>
      <c r="BC11" s="59">
        <f t="shared" si="18"/>
        <v>0</v>
      </c>
      <c r="BD11" s="257">
        <v>0</v>
      </c>
      <c r="BE11" s="293">
        <v>0</v>
      </c>
      <c r="BF11" s="293">
        <v>-16.684</v>
      </c>
      <c r="BG11" s="157">
        <v>0</v>
      </c>
      <c r="BH11" s="284">
        <f t="shared" si="19"/>
        <v>26.124000000000162</v>
      </c>
      <c r="BI11" s="157">
        <v>0</v>
      </c>
      <c r="BJ11" s="157">
        <v>0</v>
      </c>
      <c r="BK11" s="157">
        <v>0</v>
      </c>
      <c r="BL11" s="259">
        <f t="shared" si="20"/>
        <v>0</v>
      </c>
      <c r="BM11" s="257">
        <v>0</v>
      </c>
      <c r="BN11" s="293">
        <v>5.9</v>
      </c>
      <c r="BO11" s="260">
        <v>-4.459</v>
      </c>
      <c r="BP11" s="157">
        <v>0</v>
      </c>
      <c r="BQ11" s="284">
        <f t="shared" si="21"/>
        <v>27.565000000000165</v>
      </c>
      <c r="BR11" s="157">
        <v>0</v>
      </c>
      <c r="BS11" s="157">
        <v>0</v>
      </c>
      <c r="BT11" s="157">
        <v>0</v>
      </c>
      <c r="BU11" s="259">
        <f t="shared" si="22"/>
        <v>0</v>
      </c>
      <c r="BV11" s="159">
        <v>0</v>
      </c>
      <c r="BW11" s="260">
        <v>0</v>
      </c>
      <c r="BX11" s="308">
        <v>-5.336975</v>
      </c>
      <c r="BY11" s="260">
        <v>0</v>
      </c>
      <c r="BZ11" s="284">
        <f t="shared" si="23"/>
        <v>22.228025000000166</v>
      </c>
      <c r="CA11" s="260">
        <v>0</v>
      </c>
      <c r="CB11" s="260">
        <v>0</v>
      </c>
      <c r="CC11" s="260">
        <v>0</v>
      </c>
      <c r="CD11" s="162">
        <f t="shared" si="24"/>
        <v>0</v>
      </c>
      <c r="CE11" s="257">
        <f t="shared" si="25"/>
        <v>882.4290000000001</v>
      </c>
      <c r="CF11" s="157">
        <f t="shared" si="26"/>
        <v>860.2009749999999</v>
      </c>
      <c r="CG11" s="157">
        <f t="shared" si="34"/>
        <v>22.22802500000023</v>
      </c>
      <c r="CH11" s="160">
        <f t="shared" si="27"/>
        <v>0</v>
      </c>
      <c r="CI11" s="159">
        <v>0</v>
      </c>
      <c r="CJ11" s="260">
        <v>0</v>
      </c>
      <c r="CK11" s="308">
        <v>-4.724</v>
      </c>
      <c r="CL11" s="260">
        <v>0</v>
      </c>
      <c r="CM11" s="284">
        <f t="shared" si="6"/>
        <v>17.50402500000023</v>
      </c>
      <c r="CN11" s="260">
        <v>0</v>
      </c>
      <c r="CO11" s="260">
        <v>0</v>
      </c>
      <c r="CP11" s="260">
        <v>0</v>
      </c>
      <c r="CQ11" s="162">
        <f t="shared" si="28"/>
        <v>0</v>
      </c>
      <c r="CR11" s="159">
        <v>0</v>
      </c>
      <c r="CS11" s="260">
        <v>0</v>
      </c>
      <c r="CT11" s="308">
        <v>-4</v>
      </c>
      <c r="CU11" s="260">
        <v>0</v>
      </c>
      <c r="CV11" s="284">
        <f t="shared" si="7"/>
        <v>-4</v>
      </c>
      <c r="CW11" s="260">
        <v>0</v>
      </c>
      <c r="CX11" s="260">
        <v>0</v>
      </c>
      <c r="CY11" s="260">
        <v>0</v>
      </c>
      <c r="CZ11" s="162">
        <f t="shared" si="29"/>
        <v>0</v>
      </c>
      <c r="DA11" s="159">
        <v>0</v>
      </c>
      <c r="DB11" s="260">
        <v>0</v>
      </c>
      <c r="DC11" s="308">
        <v>3.96</v>
      </c>
      <c r="DD11" s="260">
        <v>0</v>
      </c>
      <c r="DE11" s="284">
        <f t="shared" si="30"/>
        <v>-0.040000000000000036</v>
      </c>
      <c r="DF11" s="260">
        <v>0</v>
      </c>
      <c r="DG11" s="260">
        <v>0</v>
      </c>
      <c r="DH11" s="260">
        <v>0</v>
      </c>
      <c r="DI11" s="162">
        <f t="shared" si="8"/>
        <v>0</v>
      </c>
      <c r="DJ11" s="159">
        <f t="shared" si="31"/>
        <v>882.4290000000001</v>
      </c>
      <c r="DK11" s="260">
        <f t="shared" si="32"/>
        <v>864.9649749999999</v>
      </c>
      <c r="DL11" s="260">
        <f t="shared" si="35"/>
        <v>17.46402500000022</v>
      </c>
      <c r="DM11" s="160">
        <f t="shared" si="33"/>
        <v>0</v>
      </c>
      <c r="DN11" s="84"/>
      <c r="DO11" s="80"/>
      <c r="DP11" s="80"/>
      <c r="DQ11" s="80"/>
      <c r="DR11" s="80"/>
      <c r="DS11" s="80"/>
      <c r="DT11" s="80"/>
    </row>
    <row r="12" spans="2:124" s="32" customFormat="1" ht="12.75">
      <c r="B12" s="167" t="s">
        <v>5</v>
      </c>
      <c r="C12" s="168" t="s">
        <v>101</v>
      </c>
      <c r="D12" s="169">
        <v>0</v>
      </c>
      <c r="E12" s="170">
        <v>8.9</v>
      </c>
      <c r="F12" s="170">
        <v>-7.057</v>
      </c>
      <c r="G12" s="170">
        <v>0</v>
      </c>
      <c r="H12" s="171">
        <f t="shared" si="9"/>
        <v>1.843</v>
      </c>
      <c r="I12" s="169">
        <v>0</v>
      </c>
      <c r="J12" s="170">
        <v>-1.843</v>
      </c>
      <c r="K12" s="170">
        <v>0</v>
      </c>
      <c r="L12" s="170">
        <v>0</v>
      </c>
      <c r="M12" s="170">
        <v>0</v>
      </c>
      <c r="N12" s="170">
        <v>0</v>
      </c>
      <c r="O12" s="171">
        <f t="shared" si="10"/>
        <v>0</v>
      </c>
      <c r="P12" s="172">
        <f>SUM(D12,E12,I12,J12)</f>
        <v>7.057</v>
      </c>
      <c r="Q12" s="173">
        <f>SUM(D12,I12)+SUM(F12,K12,M12)*-1</f>
        <v>7.057</v>
      </c>
      <c r="R12" s="174">
        <f t="shared" si="11"/>
        <v>0</v>
      </c>
      <c r="S12" s="179">
        <v>0</v>
      </c>
      <c r="T12" s="170">
        <v>0</v>
      </c>
      <c r="U12" s="170">
        <v>0</v>
      </c>
      <c r="V12" s="175">
        <v>0</v>
      </c>
      <c r="W12" s="178">
        <f t="shared" si="2"/>
        <v>0</v>
      </c>
      <c r="X12" s="179">
        <v>0</v>
      </c>
      <c r="Y12" s="175">
        <v>0</v>
      </c>
      <c r="Z12" s="175">
        <v>0</v>
      </c>
      <c r="AA12" s="175">
        <v>0</v>
      </c>
      <c r="AB12" s="178">
        <f t="shared" si="3"/>
        <v>0</v>
      </c>
      <c r="AC12" s="179">
        <v>0</v>
      </c>
      <c r="AD12" s="170">
        <v>0</v>
      </c>
      <c r="AE12" s="170">
        <v>0</v>
      </c>
      <c r="AF12" s="175">
        <v>0</v>
      </c>
      <c r="AG12" s="177">
        <f t="shared" si="4"/>
        <v>0</v>
      </c>
      <c r="AH12" s="179">
        <v>0</v>
      </c>
      <c r="AI12" s="175">
        <v>0</v>
      </c>
      <c r="AJ12" s="175">
        <v>0</v>
      </c>
      <c r="AK12" s="175">
        <v>0</v>
      </c>
      <c r="AL12" s="184">
        <f t="shared" si="5"/>
        <v>0</v>
      </c>
      <c r="AM12" s="175">
        <v>0</v>
      </c>
      <c r="AN12" s="175">
        <v>0</v>
      </c>
      <c r="AO12" s="175">
        <v>0</v>
      </c>
      <c r="AP12" s="171">
        <f t="shared" si="12"/>
        <v>0</v>
      </c>
      <c r="AQ12" s="179">
        <f t="shared" si="13"/>
        <v>7.057</v>
      </c>
      <c r="AR12" s="175">
        <f t="shared" si="14"/>
        <v>7.057</v>
      </c>
      <c r="AS12" s="175">
        <f t="shared" si="15"/>
        <v>0</v>
      </c>
      <c r="AT12" s="180">
        <f t="shared" si="16"/>
        <v>0</v>
      </c>
      <c r="AU12" s="179">
        <v>0</v>
      </c>
      <c r="AV12" s="170">
        <v>0</v>
      </c>
      <c r="AW12" s="170">
        <v>0</v>
      </c>
      <c r="AX12" s="175">
        <v>0</v>
      </c>
      <c r="AY12" s="177">
        <f t="shared" si="17"/>
        <v>0</v>
      </c>
      <c r="AZ12" s="175">
        <v>0</v>
      </c>
      <c r="BA12" s="175">
        <v>0</v>
      </c>
      <c r="BB12" s="175">
        <v>0</v>
      </c>
      <c r="BC12" s="178">
        <f t="shared" si="18"/>
        <v>0</v>
      </c>
      <c r="BD12" s="261">
        <v>0</v>
      </c>
      <c r="BE12" s="262">
        <v>0</v>
      </c>
      <c r="BF12" s="262">
        <v>0</v>
      </c>
      <c r="BG12" s="263">
        <v>0</v>
      </c>
      <c r="BH12" s="296">
        <f t="shared" si="19"/>
        <v>0</v>
      </c>
      <c r="BI12" s="263">
        <v>0</v>
      </c>
      <c r="BJ12" s="263">
        <v>0</v>
      </c>
      <c r="BK12" s="263">
        <v>0</v>
      </c>
      <c r="BL12" s="264">
        <f t="shared" si="20"/>
        <v>0</v>
      </c>
      <c r="BM12" s="261">
        <v>0</v>
      </c>
      <c r="BN12" s="262">
        <v>0</v>
      </c>
      <c r="BO12" s="262">
        <v>0</v>
      </c>
      <c r="BP12" s="263">
        <v>0</v>
      </c>
      <c r="BQ12" s="296">
        <f t="shared" si="21"/>
        <v>0</v>
      </c>
      <c r="BR12" s="263">
        <v>0</v>
      </c>
      <c r="BS12" s="263">
        <v>0</v>
      </c>
      <c r="BT12" s="263">
        <v>0</v>
      </c>
      <c r="BU12" s="264">
        <f t="shared" si="22"/>
        <v>0</v>
      </c>
      <c r="BV12" s="272">
        <v>0</v>
      </c>
      <c r="BW12" s="262">
        <v>0</v>
      </c>
      <c r="BX12" s="262">
        <v>0</v>
      </c>
      <c r="BY12" s="262">
        <v>0</v>
      </c>
      <c r="BZ12" s="296">
        <f t="shared" si="23"/>
        <v>0</v>
      </c>
      <c r="CA12" s="262">
        <v>0</v>
      </c>
      <c r="CB12" s="262">
        <v>0</v>
      </c>
      <c r="CC12" s="262">
        <v>0</v>
      </c>
      <c r="CD12" s="307">
        <f t="shared" si="24"/>
        <v>0</v>
      </c>
      <c r="CE12" s="261">
        <f t="shared" si="25"/>
        <v>7.057</v>
      </c>
      <c r="CF12" s="263">
        <f t="shared" si="26"/>
        <v>7.057</v>
      </c>
      <c r="CG12" s="263">
        <f t="shared" si="34"/>
        <v>0</v>
      </c>
      <c r="CH12" s="181">
        <f t="shared" si="27"/>
        <v>0</v>
      </c>
      <c r="CI12" s="272">
        <v>0</v>
      </c>
      <c r="CJ12" s="262">
        <v>0</v>
      </c>
      <c r="CK12" s="262">
        <v>0</v>
      </c>
      <c r="CL12" s="262">
        <v>0</v>
      </c>
      <c r="CM12" s="296">
        <f t="shared" si="6"/>
        <v>0</v>
      </c>
      <c r="CN12" s="262">
        <v>0</v>
      </c>
      <c r="CO12" s="262">
        <v>0</v>
      </c>
      <c r="CP12" s="262">
        <v>0</v>
      </c>
      <c r="CQ12" s="307">
        <f t="shared" si="28"/>
        <v>0</v>
      </c>
      <c r="CR12" s="272">
        <v>0</v>
      </c>
      <c r="CS12" s="262">
        <v>0</v>
      </c>
      <c r="CT12" s="262">
        <v>0</v>
      </c>
      <c r="CU12" s="262">
        <v>0</v>
      </c>
      <c r="CV12" s="296">
        <f t="shared" si="7"/>
        <v>0</v>
      </c>
      <c r="CW12" s="262">
        <v>0</v>
      </c>
      <c r="CX12" s="262">
        <v>0</v>
      </c>
      <c r="CY12" s="262">
        <v>0</v>
      </c>
      <c r="CZ12" s="307">
        <f t="shared" si="29"/>
        <v>0</v>
      </c>
      <c r="DA12" s="272">
        <v>0</v>
      </c>
      <c r="DB12" s="262">
        <v>0</v>
      </c>
      <c r="DC12" s="262">
        <v>0</v>
      </c>
      <c r="DD12" s="262">
        <v>0</v>
      </c>
      <c r="DE12" s="296">
        <f t="shared" si="30"/>
        <v>0</v>
      </c>
      <c r="DF12" s="262">
        <v>0</v>
      </c>
      <c r="DG12" s="262">
        <v>0</v>
      </c>
      <c r="DH12" s="262">
        <v>0</v>
      </c>
      <c r="DI12" s="307">
        <f t="shared" si="8"/>
        <v>0</v>
      </c>
      <c r="DJ12" s="272">
        <f t="shared" si="31"/>
        <v>7.057</v>
      </c>
      <c r="DK12" s="262">
        <f t="shared" si="32"/>
        <v>7.057</v>
      </c>
      <c r="DL12" s="262">
        <f t="shared" si="35"/>
        <v>0</v>
      </c>
      <c r="DM12" s="181">
        <f t="shared" si="33"/>
        <v>0</v>
      </c>
      <c r="DN12" s="84"/>
      <c r="DO12" s="80"/>
      <c r="DP12" s="80"/>
      <c r="DQ12" s="80"/>
      <c r="DR12" s="80"/>
      <c r="DS12" s="80"/>
      <c r="DT12" s="80"/>
    </row>
    <row r="13" spans="2:124" s="32" customFormat="1" ht="12.75">
      <c r="B13" s="8" t="s">
        <v>5</v>
      </c>
      <c r="C13" s="33" t="s">
        <v>58</v>
      </c>
      <c r="D13" s="29">
        <v>0</v>
      </c>
      <c r="E13" s="27">
        <f>25-25</f>
        <v>0</v>
      </c>
      <c r="F13" s="27">
        <v>0</v>
      </c>
      <c r="G13" s="27">
        <v>0</v>
      </c>
      <c r="H13" s="14">
        <f t="shared" si="9"/>
        <v>0</v>
      </c>
      <c r="I13" s="29">
        <v>0</v>
      </c>
      <c r="J13" s="27">
        <f>117.1-45</f>
        <v>72.1</v>
      </c>
      <c r="K13" s="27">
        <f>-47.91+20</f>
        <v>-27.909999999999997</v>
      </c>
      <c r="L13" s="27">
        <v>0</v>
      </c>
      <c r="M13" s="27">
        <v>0</v>
      </c>
      <c r="N13" s="27">
        <v>0</v>
      </c>
      <c r="O13" s="14">
        <f t="shared" si="10"/>
        <v>44.19</v>
      </c>
      <c r="P13" s="12">
        <f t="shared" si="0"/>
        <v>72.1</v>
      </c>
      <c r="Q13" s="13">
        <f t="shared" si="1"/>
        <v>27.909999999999997</v>
      </c>
      <c r="R13" s="34">
        <f t="shared" si="11"/>
        <v>44.19</v>
      </c>
      <c r="S13" s="57">
        <v>0</v>
      </c>
      <c r="T13" s="27">
        <v>0</v>
      </c>
      <c r="U13" s="27">
        <v>-8.5</v>
      </c>
      <c r="V13" s="58">
        <v>0</v>
      </c>
      <c r="W13" s="59">
        <f t="shared" si="2"/>
        <v>35.69</v>
      </c>
      <c r="X13" s="57">
        <v>0</v>
      </c>
      <c r="Y13" s="64">
        <v>0</v>
      </c>
      <c r="Z13" s="58">
        <v>-8.06</v>
      </c>
      <c r="AA13" s="58">
        <v>0</v>
      </c>
      <c r="AB13" s="59">
        <f t="shared" si="3"/>
        <v>27.629999999999995</v>
      </c>
      <c r="AC13" s="57">
        <v>0</v>
      </c>
      <c r="AD13" s="6">
        <f>16.4-10</f>
        <v>6.399999999999999</v>
      </c>
      <c r="AE13" s="27">
        <v>-7.9</v>
      </c>
      <c r="AF13" s="58">
        <v>0</v>
      </c>
      <c r="AG13" s="70">
        <f t="shared" si="4"/>
        <v>26.129999999999995</v>
      </c>
      <c r="AH13" s="57">
        <v>0</v>
      </c>
      <c r="AI13" s="58">
        <v>34.84</v>
      </c>
      <c r="AJ13" s="27">
        <v>-11.01</v>
      </c>
      <c r="AK13" s="58">
        <v>0</v>
      </c>
      <c r="AL13" s="155">
        <f t="shared" si="5"/>
        <v>49.96</v>
      </c>
      <c r="AM13" s="58">
        <v>0</v>
      </c>
      <c r="AN13" s="58">
        <v>0</v>
      </c>
      <c r="AO13" s="58">
        <v>0</v>
      </c>
      <c r="AP13" s="14">
        <f t="shared" si="12"/>
        <v>0</v>
      </c>
      <c r="AQ13" s="57">
        <f t="shared" si="13"/>
        <v>113.34</v>
      </c>
      <c r="AR13" s="58">
        <f t="shared" si="14"/>
        <v>63.379999999999995</v>
      </c>
      <c r="AS13" s="58">
        <f t="shared" si="15"/>
        <v>49.96000000000001</v>
      </c>
      <c r="AT13" s="92">
        <f t="shared" si="16"/>
        <v>0</v>
      </c>
      <c r="AU13" s="57">
        <v>0</v>
      </c>
      <c r="AV13" s="27">
        <v>3.195</v>
      </c>
      <c r="AW13" s="27">
        <v>-12.116</v>
      </c>
      <c r="AX13" s="58">
        <v>0</v>
      </c>
      <c r="AY13" s="70">
        <f t="shared" si="17"/>
        <v>41.03900000000001</v>
      </c>
      <c r="AZ13" s="58">
        <v>0</v>
      </c>
      <c r="BA13" s="58">
        <v>0</v>
      </c>
      <c r="BB13" s="58">
        <v>0</v>
      </c>
      <c r="BC13" s="59">
        <f t="shared" si="18"/>
        <v>0</v>
      </c>
      <c r="BD13" s="257">
        <v>0</v>
      </c>
      <c r="BE13" s="293">
        <v>-16.113</v>
      </c>
      <c r="BF13" s="293">
        <v>-9.826</v>
      </c>
      <c r="BG13" s="157">
        <v>0</v>
      </c>
      <c r="BH13" s="284">
        <f t="shared" si="19"/>
        <v>15.100000000000009</v>
      </c>
      <c r="BI13" s="157">
        <v>0</v>
      </c>
      <c r="BJ13" s="157">
        <v>0</v>
      </c>
      <c r="BK13" s="157">
        <v>0</v>
      </c>
      <c r="BL13" s="259">
        <f t="shared" si="20"/>
        <v>0</v>
      </c>
      <c r="BM13" s="257">
        <v>0</v>
      </c>
      <c r="BN13" s="260">
        <v>0</v>
      </c>
      <c r="BO13" s="260">
        <v>0</v>
      </c>
      <c r="BP13" s="157">
        <v>-15.1</v>
      </c>
      <c r="BQ13" s="284">
        <f t="shared" si="21"/>
        <v>0</v>
      </c>
      <c r="BR13" s="157">
        <v>0</v>
      </c>
      <c r="BS13" s="157">
        <v>0</v>
      </c>
      <c r="BT13" s="157">
        <v>0</v>
      </c>
      <c r="BU13" s="259">
        <f t="shared" si="22"/>
        <v>0</v>
      </c>
      <c r="BV13" s="159">
        <v>0</v>
      </c>
      <c r="BW13" s="260">
        <v>0</v>
      </c>
      <c r="BX13" s="260">
        <v>0</v>
      </c>
      <c r="BY13" s="260">
        <v>0</v>
      </c>
      <c r="BZ13" s="284">
        <f t="shared" si="23"/>
        <v>0</v>
      </c>
      <c r="CA13" s="260">
        <v>0</v>
      </c>
      <c r="CB13" s="260">
        <v>0</v>
      </c>
      <c r="CC13" s="260">
        <v>0</v>
      </c>
      <c r="CD13" s="162">
        <f t="shared" si="24"/>
        <v>0</v>
      </c>
      <c r="CE13" s="257">
        <f t="shared" si="25"/>
        <v>85.322</v>
      </c>
      <c r="CF13" s="157">
        <f t="shared" si="26"/>
        <v>85.322</v>
      </c>
      <c r="CG13" s="157">
        <f t="shared" si="34"/>
        <v>0</v>
      </c>
      <c r="CH13" s="160">
        <f t="shared" si="27"/>
        <v>0</v>
      </c>
      <c r="CI13" s="159">
        <v>0</v>
      </c>
      <c r="CJ13" s="260">
        <v>0</v>
      </c>
      <c r="CK13" s="260">
        <v>0</v>
      </c>
      <c r="CL13" s="260">
        <v>0</v>
      </c>
      <c r="CM13" s="284">
        <f t="shared" si="6"/>
        <v>0</v>
      </c>
      <c r="CN13" s="260">
        <v>0</v>
      </c>
      <c r="CO13" s="260">
        <v>0</v>
      </c>
      <c r="CP13" s="260">
        <v>0</v>
      </c>
      <c r="CQ13" s="162">
        <f t="shared" si="28"/>
        <v>0</v>
      </c>
      <c r="CR13" s="159">
        <v>0</v>
      </c>
      <c r="CS13" s="260">
        <v>0</v>
      </c>
      <c r="CT13" s="260">
        <v>0</v>
      </c>
      <c r="CU13" s="260">
        <v>0</v>
      </c>
      <c r="CV13" s="284">
        <f t="shared" si="7"/>
        <v>0</v>
      </c>
      <c r="CW13" s="260">
        <v>0</v>
      </c>
      <c r="CX13" s="260">
        <v>0</v>
      </c>
      <c r="CY13" s="260">
        <v>0</v>
      </c>
      <c r="CZ13" s="162">
        <f t="shared" si="29"/>
        <v>0</v>
      </c>
      <c r="DA13" s="159">
        <v>0</v>
      </c>
      <c r="DB13" s="260">
        <v>0</v>
      </c>
      <c r="DC13" s="260">
        <v>0</v>
      </c>
      <c r="DD13" s="260">
        <v>0</v>
      </c>
      <c r="DE13" s="284">
        <f t="shared" si="30"/>
        <v>0</v>
      </c>
      <c r="DF13" s="260">
        <v>0</v>
      </c>
      <c r="DG13" s="260">
        <v>0</v>
      </c>
      <c r="DH13" s="260">
        <v>0</v>
      </c>
      <c r="DI13" s="162">
        <f t="shared" si="8"/>
        <v>0</v>
      </c>
      <c r="DJ13" s="159">
        <f t="shared" si="31"/>
        <v>85.322</v>
      </c>
      <c r="DK13" s="260">
        <f t="shared" si="32"/>
        <v>85.322</v>
      </c>
      <c r="DL13" s="260">
        <f t="shared" si="35"/>
        <v>0</v>
      </c>
      <c r="DM13" s="160">
        <f t="shared" si="33"/>
        <v>0</v>
      </c>
      <c r="DN13" s="84"/>
      <c r="DO13" s="80"/>
      <c r="DP13" s="80"/>
      <c r="DQ13" s="80"/>
      <c r="DR13" s="80"/>
      <c r="DS13" s="80"/>
      <c r="DT13" s="80"/>
    </row>
    <row r="14" spans="2:124" s="32" customFormat="1" ht="12.75">
      <c r="B14" s="8" t="s">
        <v>5</v>
      </c>
      <c r="C14" s="33" t="s">
        <v>103</v>
      </c>
      <c r="D14" s="29">
        <v>0</v>
      </c>
      <c r="E14" s="27">
        <v>25</v>
      </c>
      <c r="F14" s="27">
        <v>0</v>
      </c>
      <c r="G14" s="27">
        <v>0</v>
      </c>
      <c r="H14" s="14">
        <f t="shared" si="9"/>
        <v>25</v>
      </c>
      <c r="I14" s="29">
        <v>0</v>
      </c>
      <c r="J14" s="27">
        <v>45</v>
      </c>
      <c r="K14" s="27">
        <v>-20</v>
      </c>
      <c r="L14" s="27">
        <v>0</v>
      </c>
      <c r="M14" s="27">
        <v>0</v>
      </c>
      <c r="N14" s="27">
        <v>0</v>
      </c>
      <c r="O14" s="14">
        <f t="shared" si="10"/>
        <v>50</v>
      </c>
      <c r="P14" s="12">
        <f t="shared" si="0"/>
        <v>70</v>
      </c>
      <c r="Q14" s="13">
        <f t="shared" si="1"/>
        <v>20</v>
      </c>
      <c r="R14" s="34">
        <f t="shared" si="11"/>
        <v>50</v>
      </c>
      <c r="S14" s="57">
        <v>0</v>
      </c>
      <c r="T14" s="27">
        <v>0</v>
      </c>
      <c r="U14" s="27">
        <v>0</v>
      </c>
      <c r="V14" s="58">
        <v>0</v>
      </c>
      <c r="W14" s="59">
        <f t="shared" si="2"/>
        <v>50</v>
      </c>
      <c r="X14" s="57">
        <v>0</v>
      </c>
      <c r="Y14" s="64">
        <v>0</v>
      </c>
      <c r="Z14" s="58">
        <v>0</v>
      </c>
      <c r="AA14" s="58">
        <v>0</v>
      </c>
      <c r="AB14" s="59">
        <f t="shared" si="3"/>
        <v>50</v>
      </c>
      <c r="AC14" s="57">
        <v>0</v>
      </c>
      <c r="AD14" s="6">
        <v>10</v>
      </c>
      <c r="AE14" s="27">
        <v>0</v>
      </c>
      <c r="AF14" s="58">
        <v>0</v>
      </c>
      <c r="AG14" s="70">
        <f t="shared" si="4"/>
        <v>60</v>
      </c>
      <c r="AH14" s="57">
        <v>0</v>
      </c>
      <c r="AI14" s="58">
        <f>-9.4-47</f>
        <v>-56.4</v>
      </c>
      <c r="AJ14" s="58">
        <f>-0.26</f>
        <v>-0.26</v>
      </c>
      <c r="AK14" s="58">
        <v>0</v>
      </c>
      <c r="AL14" s="155">
        <f t="shared" si="5"/>
        <v>3.3400000000000016</v>
      </c>
      <c r="AM14" s="58">
        <v>0</v>
      </c>
      <c r="AN14" s="58">
        <v>0</v>
      </c>
      <c r="AO14" s="58">
        <v>0</v>
      </c>
      <c r="AP14" s="14">
        <f t="shared" si="12"/>
        <v>0</v>
      </c>
      <c r="AQ14" s="57">
        <f t="shared" si="13"/>
        <v>23.6</v>
      </c>
      <c r="AR14" s="58">
        <f t="shared" si="14"/>
        <v>20.26</v>
      </c>
      <c r="AS14" s="58">
        <f t="shared" si="15"/>
        <v>3.34</v>
      </c>
      <c r="AT14" s="92">
        <f t="shared" si="16"/>
        <v>0</v>
      </c>
      <c r="AU14" s="57">
        <v>0</v>
      </c>
      <c r="AV14" s="27">
        <v>0.76</v>
      </c>
      <c r="AW14" s="27">
        <v>0.006</v>
      </c>
      <c r="AX14" s="58">
        <v>0</v>
      </c>
      <c r="AY14" s="70">
        <f t="shared" si="17"/>
        <v>4.106</v>
      </c>
      <c r="AZ14" s="58">
        <v>0</v>
      </c>
      <c r="BA14" s="58">
        <v>0</v>
      </c>
      <c r="BB14" s="58">
        <v>0</v>
      </c>
      <c r="BC14" s="59">
        <f t="shared" si="18"/>
        <v>0</v>
      </c>
      <c r="BD14" s="257">
        <v>0</v>
      </c>
      <c r="BE14" s="293">
        <v>-0.95</v>
      </c>
      <c r="BF14" s="293">
        <v>-0.056</v>
      </c>
      <c r="BG14" s="157">
        <v>0</v>
      </c>
      <c r="BH14" s="284">
        <f t="shared" si="19"/>
        <v>3.0999999999999996</v>
      </c>
      <c r="BI14" s="157">
        <v>0</v>
      </c>
      <c r="BJ14" s="157">
        <v>0</v>
      </c>
      <c r="BK14" s="157">
        <v>0</v>
      </c>
      <c r="BL14" s="259">
        <f t="shared" si="20"/>
        <v>0</v>
      </c>
      <c r="BM14" s="257">
        <v>0</v>
      </c>
      <c r="BN14" s="260">
        <v>0</v>
      </c>
      <c r="BO14" s="260">
        <v>0</v>
      </c>
      <c r="BP14" s="157">
        <v>-3.1</v>
      </c>
      <c r="BQ14" s="284">
        <f t="shared" si="21"/>
        <v>0</v>
      </c>
      <c r="BR14" s="157">
        <v>0</v>
      </c>
      <c r="BS14" s="157">
        <v>0</v>
      </c>
      <c r="BT14" s="157">
        <v>0</v>
      </c>
      <c r="BU14" s="259">
        <f t="shared" si="22"/>
        <v>0</v>
      </c>
      <c r="BV14" s="159">
        <v>0</v>
      </c>
      <c r="BW14" s="260">
        <v>0</v>
      </c>
      <c r="BX14" s="260">
        <v>0</v>
      </c>
      <c r="BY14" s="260">
        <v>0</v>
      </c>
      <c r="BZ14" s="284">
        <f t="shared" si="23"/>
        <v>0</v>
      </c>
      <c r="CA14" s="260">
        <v>0</v>
      </c>
      <c r="CB14" s="260">
        <v>0</v>
      </c>
      <c r="CC14" s="260">
        <v>0</v>
      </c>
      <c r="CD14" s="162">
        <f t="shared" si="24"/>
        <v>0</v>
      </c>
      <c r="CE14" s="257">
        <f t="shared" si="25"/>
        <v>20.310000000000002</v>
      </c>
      <c r="CF14" s="157">
        <f t="shared" si="26"/>
        <v>20.310000000000002</v>
      </c>
      <c r="CG14" s="157">
        <f t="shared" si="34"/>
        <v>0</v>
      </c>
      <c r="CH14" s="160">
        <f t="shared" si="27"/>
        <v>0</v>
      </c>
      <c r="CI14" s="159">
        <v>0</v>
      </c>
      <c r="CJ14" s="260">
        <v>0</v>
      </c>
      <c r="CK14" s="260">
        <v>0</v>
      </c>
      <c r="CL14" s="260">
        <v>0</v>
      </c>
      <c r="CM14" s="284">
        <f t="shared" si="6"/>
        <v>0</v>
      </c>
      <c r="CN14" s="260">
        <v>0</v>
      </c>
      <c r="CO14" s="260">
        <v>0</v>
      </c>
      <c r="CP14" s="260">
        <v>0</v>
      </c>
      <c r="CQ14" s="162">
        <f t="shared" si="28"/>
        <v>0</v>
      </c>
      <c r="CR14" s="159">
        <v>0</v>
      </c>
      <c r="CS14" s="260">
        <v>0</v>
      </c>
      <c r="CT14" s="260">
        <v>0</v>
      </c>
      <c r="CU14" s="260">
        <v>0</v>
      </c>
      <c r="CV14" s="284">
        <f t="shared" si="7"/>
        <v>0</v>
      </c>
      <c r="CW14" s="260">
        <v>0</v>
      </c>
      <c r="CX14" s="260">
        <v>0</v>
      </c>
      <c r="CY14" s="260">
        <v>0</v>
      </c>
      <c r="CZ14" s="162">
        <f t="shared" si="29"/>
        <v>0</v>
      </c>
      <c r="DA14" s="159">
        <v>0</v>
      </c>
      <c r="DB14" s="260">
        <v>0</v>
      </c>
      <c r="DC14" s="260">
        <v>0</v>
      </c>
      <c r="DD14" s="260">
        <v>0</v>
      </c>
      <c r="DE14" s="284">
        <f t="shared" si="30"/>
        <v>0</v>
      </c>
      <c r="DF14" s="260">
        <v>0</v>
      </c>
      <c r="DG14" s="260">
        <v>0</v>
      </c>
      <c r="DH14" s="260">
        <v>0</v>
      </c>
      <c r="DI14" s="162">
        <f t="shared" si="8"/>
        <v>0</v>
      </c>
      <c r="DJ14" s="159">
        <f t="shared" si="31"/>
        <v>20.310000000000002</v>
      </c>
      <c r="DK14" s="260">
        <f t="shared" si="32"/>
        <v>20.310000000000002</v>
      </c>
      <c r="DL14" s="260">
        <f t="shared" si="35"/>
        <v>0</v>
      </c>
      <c r="DM14" s="160">
        <f t="shared" si="33"/>
        <v>0</v>
      </c>
      <c r="DN14" s="84"/>
      <c r="DO14" s="80"/>
      <c r="DP14" s="80"/>
      <c r="DQ14" s="80"/>
      <c r="DR14" s="80"/>
      <c r="DS14" s="80"/>
      <c r="DT14" s="80"/>
    </row>
    <row r="15" spans="2:124" s="32" customFormat="1" ht="12.75">
      <c r="B15" s="167" t="s">
        <v>5</v>
      </c>
      <c r="C15" s="168" t="s">
        <v>102</v>
      </c>
      <c r="D15" s="169">
        <v>0</v>
      </c>
      <c r="E15" s="170">
        <v>0</v>
      </c>
      <c r="F15" s="170">
        <v>0</v>
      </c>
      <c r="G15" s="170">
        <v>0</v>
      </c>
      <c r="H15" s="171">
        <f t="shared" si="9"/>
        <v>0</v>
      </c>
      <c r="I15" s="169">
        <v>0</v>
      </c>
      <c r="J15" s="170">
        <v>0</v>
      </c>
      <c r="K15" s="170">
        <v>0</v>
      </c>
      <c r="L15" s="170">
        <v>0</v>
      </c>
      <c r="M15" s="170">
        <v>0</v>
      </c>
      <c r="N15" s="170">
        <v>0</v>
      </c>
      <c r="O15" s="171">
        <f t="shared" si="10"/>
        <v>0</v>
      </c>
      <c r="P15" s="172">
        <f t="shared" si="0"/>
        <v>0</v>
      </c>
      <c r="Q15" s="173">
        <f t="shared" si="1"/>
        <v>0</v>
      </c>
      <c r="R15" s="174">
        <f t="shared" si="11"/>
        <v>0</v>
      </c>
      <c r="S15" s="179">
        <v>0</v>
      </c>
      <c r="T15" s="170">
        <v>0</v>
      </c>
      <c r="U15" s="170">
        <v>0</v>
      </c>
      <c r="V15" s="175">
        <v>0</v>
      </c>
      <c r="W15" s="178">
        <f t="shared" si="2"/>
        <v>0</v>
      </c>
      <c r="X15" s="179">
        <v>0</v>
      </c>
      <c r="Y15" s="175">
        <v>0</v>
      </c>
      <c r="Z15" s="175">
        <v>0</v>
      </c>
      <c r="AA15" s="175">
        <v>0</v>
      </c>
      <c r="AB15" s="178">
        <f t="shared" si="3"/>
        <v>0</v>
      </c>
      <c r="AC15" s="179">
        <v>0</v>
      </c>
      <c r="AD15" s="170">
        <v>0</v>
      </c>
      <c r="AE15" s="170">
        <v>0</v>
      </c>
      <c r="AF15" s="175">
        <v>0</v>
      </c>
      <c r="AG15" s="177">
        <f t="shared" si="4"/>
        <v>0</v>
      </c>
      <c r="AH15" s="179">
        <v>0</v>
      </c>
      <c r="AI15" s="175">
        <v>47</v>
      </c>
      <c r="AJ15" s="175">
        <v>0</v>
      </c>
      <c r="AK15" s="175">
        <v>0</v>
      </c>
      <c r="AL15" s="184">
        <f t="shared" si="5"/>
        <v>47</v>
      </c>
      <c r="AM15" s="175">
        <v>0</v>
      </c>
      <c r="AN15" s="175">
        <v>0</v>
      </c>
      <c r="AO15" s="175">
        <v>0</v>
      </c>
      <c r="AP15" s="171">
        <f t="shared" si="12"/>
        <v>0</v>
      </c>
      <c r="AQ15" s="179">
        <f t="shared" si="13"/>
        <v>47</v>
      </c>
      <c r="AR15" s="175">
        <f>SUM(Q15)+(S15+X15+AC15+AH15)+SUM((U15+Z15+AE15+AJ15+AN15)*-1)</f>
        <v>0</v>
      </c>
      <c r="AS15" s="175">
        <f>SUM(AQ15-AR15)</f>
        <v>47</v>
      </c>
      <c r="AT15" s="180">
        <f t="shared" si="16"/>
        <v>0</v>
      </c>
      <c r="AU15" s="179">
        <v>0</v>
      </c>
      <c r="AV15" s="170">
        <v>0</v>
      </c>
      <c r="AW15" s="170">
        <v>0</v>
      </c>
      <c r="AX15" s="175">
        <v>0</v>
      </c>
      <c r="AY15" s="177">
        <f t="shared" si="17"/>
        <v>47</v>
      </c>
      <c r="AZ15" s="175">
        <v>0</v>
      </c>
      <c r="BA15" s="175">
        <v>0</v>
      </c>
      <c r="BB15" s="175">
        <v>0</v>
      </c>
      <c r="BC15" s="178">
        <f t="shared" si="18"/>
        <v>0</v>
      </c>
      <c r="BD15" s="261">
        <v>0</v>
      </c>
      <c r="BE15" s="262">
        <v>0</v>
      </c>
      <c r="BF15" s="262">
        <v>0</v>
      </c>
      <c r="BG15" s="263">
        <v>0</v>
      </c>
      <c r="BH15" s="296">
        <f t="shared" si="19"/>
        <v>47</v>
      </c>
      <c r="BI15" s="263">
        <v>0</v>
      </c>
      <c r="BJ15" s="263">
        <v>0</v>
      </c>
      <c r="BK15" s="263">
        <v>0</v>
      </c>
      <c r="BL15" s="264">
        <f t="shared" si="20"/>
        <v>0</v>
      </c>
      <c r="BM15" s="261">
        <v>0</v>
      </c>
      <c r="BN15" s="262">
        <v>0</v>
      </c>
      <c r="BO15" s="262">
        <v>0</v>
      </c>
      <c r="BP15" s="263">
        <v>0</v>
      </c>
      <c r="BQ15" s="296">
        <f t="shared" si="21"/>
        <v>47</v>
      </c>
      <c r="BR15" s="263">
        <v>0</v>
      </c>
      <c r="BS15" s="263">
        <v>0</v>
      </c>
      <c r="BT15" s="263">
        <v>0</v>
      </c>
      <c r="BU15" s="264">
        <f t="shared" si="22"/>
        <v>0</v>
      </c>
      <c r="BV15" s="272">
        <v>0</v>
      </c>
      <c r="BW15" s="262">
        <v>0</v>
      </c>
      <c r="BX15" s="262">
        <v>0</v>
      </c>
      <c r="BY15" s="262">
        <v>-47</v>
      </c>
      <c r="BZ15" s="296">
        <f t="shared" si="23"/>
        <v>0</v>
      </c>
      <c r="CA15" s="262">
        <v>0</v>
      </c>
      <c r="CB15" s="262">
        <v>0</v>
      </c>
      <c r="CC15" s="262">
        <v>0</v>
      </c>
      <c r="CD15" s="307">
        <f t="shared" si="24"/>
        <v>0</v>
      </c>
      <c r="CE15" s="261">
        <f t="shared" si="25"/>
        <v>0</v>
      </c>
      <c r="CF15" s="263">
        <f t="shared" si="26"/>
        <v>0</v>
      </c>
      <c r="CG15" s="263">
        <f t="shared" si="34"/>
        <v>0</v>
      </c>
      <c r="CH15" s="181">
        <f t="shared" si="27"/>
        <v>0</v>
      </c>
      <c r="CI15" s="272">
        <v>0</v>
      </c>
      <c r="CJ15" s="262">
        <v>0</v>
      </c>
      <c r="CK15" s="262">
        <v>0</v>
      </c>
      <c r="CL15" s="262">
        <v>0</v>
      </c>
      <c r="CM15" s="296">
        <f t="shared" si="6"/>
        <v>0</v>
      </c>
      <c r="CN15" s="262">
        <v>0</v>
      </c>
      <c r="CO15" s="262">
        <v>0</v>
      </c>
      <c r="CP15" s="262">
        <v>0</v>
      </c>
      <c r="CQ15" s="307">
        <f t="shared" si="28"/>
        <v>0</v>
      </c>
      <c r="CR15" s="272">
        <v>0</v>
      </c>
      <c r="CS15" s="262">
        <v>0</v>
      </c>
      <c r="CT15" s="262">
        <v>0</v>
      </c>
      <c r="CU15" s="262">
        <v>0</v>
      </c>
      <c r="CV15" s="296">
        <f t="shared" si="7"/>
        <v>0</v>
      </c>
      <c r="CW15" s="262">
        <v>0</v>
      </c>
      <c r="CX15" s="262">
        <v>0</v>
      </c>
      <c r="CY15" s="262">
        <v>0</v>
      </c>
      <c r="CZ15" s="307">
        <f t="shared" si="29"/>
        <v>0</v>
      </c>
      <c r="DA15" s="272">
        <v>0</v>
      </c>
      <c r="DB15" s="262">
        <v>0</v>
      </c>
      <c r="DC15" s="262">
        <v>0</v>
      </c>
      <c r="DD15" s="262">
        <v>0</v>
      </c>
      <c r="DE15" s="296">
        <f t="shared" si="30"/>
        <v>0</v>
      </c>
      <c r="DF15" s="262">
        <v>0</v>
      </c>
      <c r="DG15" s="262">
        <v>0</v>
      </c>
      <c r="DH15" s="262">
        <v>0</v>
      </c>
      <c r="DI15" s="307">
        <f t="shared" si="8"/>
        <v>0</v>
      </c>
      <c r="DJ15" s="272">
        <f t="shared" si="31"/>
        <v>0</v>
      </c>
      <c r="DK15" s="262">
        <f t="shared" si="32"/>
        <v>0</v>
      </c>
      <c r="DL15" s="262">
        <f t="shared" si="35"/>
        <v>0</v>
      </c>
      <c r="DM15" s="181">
        <f t="shared" si="33"/>
        <v>0</v>
      </c>
      <c r="DN15" s="84"/>
      <c r="DO15" s="80"/>
      <c r="DP15" s="80"/>
      <c r="DQ15" s="80"/>
      <c r="DR15" s="80"/>
      <c r="DS15" s="80"/>
      <c r="DT15" s="80"/>
    </row>
    <row r="16" spans="2:124" s="32" customFormat="1" ht="12.75">
      <c r="B16" s="8" t="s">
        <v>5</v>
      </c>
      <c r="C16" s="33" t="s">
        <v>22</v>
      </c>
      <c r="D16" s="29">
        <v>0</v>
      </c>
      <c r="E16" s="27">
        <v>109.6</v>
      </c>
      <c r="F16" s="27">
        <v>0</v>
      </c>
      <c r="G16" s="27">
        <v>0</v>
      </c>
      <c r="H16" s="14">
        <f t="shared" si="9"/>
        <v>109.6</v>
      </c>
      <c r="I16" s="29">
        <v>0</v>
      </c>
      <c r="J16" s="27">
        <v>33.35</v>
      </c>
      <c r="K16" s="27">
        <v>-11.6</v>
      </c>
      <c r="L16" s="27">
        <v>0</v>
      </c>
      <c r="M16" s="27">
        <v>0</v>
      </c>
      <c r="N16" s="27">
        <v>0</v>
      </c>
      <c r="O16" s="14">
        <f t="shared" si="10"/>
        <v>131.35</v>
      </c>
      <c r="P16" s="12">
        <f t="shared" si="0"/>
        <v>142.95</v>
      </c>
      <c r="Q16" s="13">
        <f t="shared" si="1"/>
        <v>11.6</v>
      </c>
      <c r="R16" s="34">
        <f t="shared" si="11"/>
        <v>131.35</v>
      </c>
      <c r="S16" s="57">
        <v>0</v>
      </c>
      <c r="T16" s="58">
        <v>0</v>
      </c>
      <c r="U16" s="27">
        <v>-22.744</v>
      </c>
      <c r="V16" s="58">
        <v>0</v>
      </c>
      <c r="W16" s="59">
        <f t="shared" si="2"/>
        <v>108.606</v>
      </c>
      <c r="X16" s="57">
        <v>0</v>
      </c>
      <c r="Y16" s="64">
        <v>-1.9</v>
      </c>
      <c r="Z16" s="58">
        <v>-12.6</v>
      </c>
      <c r="AA16" s="58">
        <v>0</v>
      </c>
      <c r="AB16" s="59">
        <f t="shared" si="3"/>
        <v>94.106</v>
      </c>
      <c r="AC16" s="57">
        <v>0</v>
      </c>
      <c r="AD16" s="6">
        <v>0</v>
      </c>
      <c r="AE16" s="27">
        <v>-1</v>
      </c>
      <c r="AF16" s="58">
        <v>0</v>
      </c>
      <c r="AG16" s="70">
        <f t="shared" si="4"/>
        <v>93.106</v>
      </c>
      <c r="AH16" s="57">
        <v>0</v>
      </c>
      <c r="AI16" s="58">
        <v>-0.34</v>
      </c>
      <c r="AJ16" s="27">
        <v>-3.324</v>
      </c>
      <c r="AK16" s="58">
        <v>0</v>
      </c>
      <c r="AL16" s="155">
        <f t="shared" si="5"/>
        <v>89.442</v>
      </c>
      <c r="AM16" s="58">
        <v>0</v>
      </c>
      <c r="AN16" s="58">
        <v>0</v>
      </c>
      <c r="AO16" s="58">
        <v>0</v>
      </c>
      <c r="AP16" s="14">
        <f t="shared" si="12"/>
        <v>0</v>
      </c>
      <c r="AQ16" s="57">
        <f t="shared" si="13"/>
        <v>140.70999999999998</v>
      </c>
      <c r="AR16" s="58">
        <f t="shared" si="14"/>
        <v>51.268</v>
      </c>
      <c r="AS16" s="58">
        <f t="shared" si="15"/>
        <v>89.44199999999998</v>
      </c>
      <c r="AT16" s="92">
        <f t="shared" si="16"/>
        <v>0</v>
      </c>
      <c r="AU16" s="57">
        <v>0</v>
      </c>
      <c r="AV16" s="27">
        <v>0</v>
      </c>
      <c r="AW16" s="27">
        <v>-1.711</v>
      </c>
      <c r="AX16" s="58">
        <v>-0.196</v>
      </c>
      <c r="AY16" s="70">
        <f t="shared" si="17"/>
        <v>87.53499999999998</v>
      </c>
      <c r="AZ16" s="58">
        <v>0</v>
      </c>
      <c r="BA16" s="58">
        <v>0</v>
      </c>
      <c r="BB16" s="58">
        <v>0</v>
      </c>
      <c r="BC16" s="59">
        <f t="shared" si="18"/>
        <v>0</v>
      </c>
      <c r="BD16" s="257">
        <v>0</v>
      </c>
      <c r="BE16" s="293">
        <v>-29.764</v>
      </c>
      <c r="BF16" s="293">
        <v>0.6</v>
      </c>
      <c r="BG16" s="157">
        <v>0</v>
      </c>
      <c r="BH16" s="284">
        <f t="shared" si="19"/>
        <v>58.37099999999999</v>
      </c>
      <c r="BI16" s="157">
        <v>0</v>
      </c>
      <c r="BJ16" s="157">
        <v>0</v>
      </c>
      <c r="BK16" s="157">
        <v>0</v>
      </c>
      <c r="BL16" s="259">
        <f t="shared" si="20"/>
        <v>0</v>
      </c>
      <c r="BM16" s="257">
        <v>0</v>
      </c>
      <c r="BN16" s="293">
        <v>0</v>
      </c>
      <c r="BO16" s="260">
        <v>-26.198366</v>
      </c>
      <c r="BP16" s="157">
        <v>0</v>
      </c>
      <c r="BQ16" s="284">
        <f t="shared" si="21"/>
        <v>32.17263399999999</v>
      </c>
      <c r="BR16" s="157">
        <v>0</v>
      </c>
      <c r="BS16" s="157">
        <v>0</v>
      </c>
      <c r="BT16" s="157">
        <v>0</v>
      </c>
      <c r="BU16" s="259">
        <f t="shared" si="22"/>
        <v>0</v>
      </c>
      <c r="BV16" s="159">
        <v>0</v>
      </c>
      <c r="BW16" s="260">
        <v>0</v>
      </c>
      <c r="BX16" s="260">
        <v>0</v>
      </c>
      <c r="BY16" s="260">
        <v>0</v>
      </c>
      <c r="BZ16" s="284">
        <f t="shared" si="23"/>
        <v>32.17263399999999</v>
      </c>
      <c r="CA16" s="260">
        <v>0</v>
      </c>
      <c r="CB16" s="260">
        <v>0</v>
      </c>
      <c r="CC16" s="260">
        <v>0</v>
      </c>
      <c r="CD16" s="162">
        <f t="shared" si="24"/>
        <v>0</v>
      </c>
      <c r="CE16" s="257">
        <f t="shared" si="25"/>
        <v>110.74999999999999</v>
      </c>
      <c r="CF16" s="157">
        <f t="shared" si="26"/>
        <v>78.577366</v>
      </c>
      <c r="CG16" s="260">
        <f t="shared" si="34"/>
        <v>32.17263399999999</v>
      </c>
      <c r="CH16" s="160">
        <f t="shared" si="27"/>
        <v>0</v>
      </c>
      <c r="CI16" s="159">
        <v>0</v>
      </c>
      <c r="CJ16" s="260">
        <v>0</v>
      </c>
      <c r="CK16" s="260">
        <v>0</v>
      </c>
      <c r="CL16" s="260">
        <v>0</v>
      </c>
      <c r="CM16" s="284">
        <f t="shared" si="6"/>
        <v>32.17263399999999</v>
      </c>
      <c r="CN16" s="260">
        <v>0</v>
      </c>
      <c r="CO16" s="260">
        <v>0</v>
      </c>
      <c r="CP16" s="260">
        <v>0</v>
      </c>
      <c r="CQ16" s="162">
        <f t="shared" si="28"/>
        <v>0</v>
      </c>
      <c r="CR16" s="159">
        <v>0</v>
      </c>
      <c r="CS16" s="260">
        <v>0</v>
      </c>
      <c r="CT16" s="260">
        <v>0</v>
      </c>
      <c r="CU16" s="260">
        <v>0</v>
      </c>
      <c r="CV16" s="284">
        <f t="shared" si="7"/>
        <v>0</v>
      </c>
      <c r="CW16" s="260">
        <v>0</v>
      </c>
      <c r="CX16" s="260">
        <v>0</v>
      </c>
      <c r="CY16" s="260">
        <v>0</v>
      </c>
      <c r="CZ16" s="162">
        <f t="shared" si="29"/>
        <v>0</v>
      </c>
      <c r="DA16" s="159">
        <v>0</v>
      </c>
      <c r="DB16" s="260">
        <v>-14.598</v>
      </c>
      <c r="DC16" s="260">
        <v>-10.958752</v>
      </c>
      <c r="DD16" s="260">
        <v>0</v>
      </c>
      <c r="DE16" s="284">
        <f t="shared" si="30"/>
        <v>-25.556752000000003</v>
      </c>
      <c r="DF16" s="260">
        <v>0</v>
      </c>
      <c r="DG16" s="260">
        <v>0</v>
      </c>
      <c r="DH16" s="260">
        <v>0</v>
      </c>
      <c r="DI16" s="162">
        <f t="shared" si="8"/>
        <v>0</v>
      </c>
      <c r="DJ16" s="159">
        <f t="shared" si="31"/>
        <v>96.15199999999999</v>
      </c>
      <c r="DK16" s="260">
        <f t="shared" si="32"/>
        <v>89.536118</v>
      </c>
      <c r="DL16" s="260">
        <f t="shared" si="35"/>
        <v>6.615881999999985</v>
      </c>
      <c r="DM16" s="160">
        <f t="shared" si="33"/>
        <v>0</v>
      </c>
      <c r="DN16" s="84"/>
      <c r="DO16" s="80"/>
      <c r="DP16" s="80"/>
      <c r="DQ16" s="80"/>
      <c r="DR16" s="80"/>
      <c r="DS16" s="80"/>
      <c r="DT16" s="80"/>
    </row>
    <row r="17" spans="2:124" s="32" customFormat="1" ht="12.75">
      <c r="B17" s="8" t="s">
        <v>5</v>
      </c>
      <c r="C17" s="33" t="s">
        <v>15</v>
      </c>
      <c r="D17" s="29">
        <f>261+143-52-87-5.087</f>
        <v>259.913</v>
      </c>
      <c r="E17" s="27">
        <v>-14</v>
      </c>
      <c r="F17" s="27">
        <v>14</v>
      </c>
      <c r="G17" s="27">
        <v>0</v>
      </c>
      <c r="H17" s="14">
        <f t="shared" si="9"/>
        <v>0</v>
      </c>
      <c r="I17" s="29">
        <v>0</v>
      </c>
      <c r="J17" s="27">
        <v>1</v>
      </c>
      <c r="K17" s="27">
        <v>-1</v>
      </c>
      <c r="L17" s="27">
        <v>0</v>
      </c>
      <c r="M17" s="27">
        <v>0</v>
      </c>
      <c r="N17" s="27">
        <v>0</v>
      </c>
      <c r="O17" s="14">
        <f t="shared" si="10"/>
        <v>0</v>
      </c>
      <c r="P17" s="12">
        <f t="shared" si="0"/>
        <v>246.913</v>
      </c>
      <c r="Q17" s="13">
        <f t="shared" si="1"/>
        <v>246.913</v>
      </c>
      <c r="R17" s="34">
        <f t="shared" si="11"/>
        <v>0</v>
      </c>
      <c r="S17" s="57">
        <v>0</v>
      </c>
      <c r="T17" s="58">
        <v>0</v>
      </c>
      <c r="U17" s="58">
        <v>0</v>
      </c>
      <c r="V17" s="58">
        <v>0</v>
      </c>
      <c r="W17" s="59">
        <f t="shared" si="2"/>
        <v>0</v>
      </c>
      <c r="X17" s="57">
        <v>0</v>
      </c>
      <c r="Y17" s="58">
        <v>0</v>
      </c>
      <c r="Z17" s="58">
        <v>0</v>
      </c>
      <c r="AA17" s="58">
        <v>0</v>
      </c>
      <c r="AB17" s="59">
        <f t="shared" si="3"/>
        <v>0</v>
      </c>
      <c r="AC17" s="57">
        <v>0</v>
      </c>
      <c r="AD17" s="27">
        <v>0</v>
      </c>
      <c r="AE17" s="27">
        <v>0</v>
      </c>
      <c r="AF17" s="58">
        <v>0</v>
      </c>
      <c r="AG17" s="70">
        <f t="shared" si="4"/>
        <v>0</v>
      </c>
      <c r="AH17" s="57">
        <v>0</v>
      </c>
      <c r="AI17" s="58">
        <v>0</v>
      </c>
      <c r="AJ17" s="58">
        <v>0</v>
      </c>
      <c r="AK17" s="58">
        <v>0</v>
      </c>
      <c r="AL17" s="155">
        <f t="shared" si="5"/>
        <v>0</v>
      </c>
      <c r="AM17" s="58">
        <v>0</v>
      </c>
      <c r="AN17" s="58">
        <v>0</v>
      </c>
      <c r="AO17" s="58">
        <v>0</v>
      </c>
      <c r="AP17" s="14">
        <f t="shared" si="12"/>
        <v>0</v>
      </c>
      <c r="AQ17" s="57">
        <f t="shared" si="13"/>
        <v>246.913</v>
      </c>
      <c r="AR17" s="58">
        <f t="shared" si="14"/>
        <v>246.913</v>
      </c>
      <c r="AS17" s="58">
        <f t="shared" si="15"/>
        <v>0</v>
      </c>
      <c r="AT17" s="92">
        <f t="shared" si="16"/>
        <v>0</v>
      </c>
      <c r="AU17" s="57">
        <v>0</v>
      </c>
      <c r="AV17" s="58">
        <v>0</v>
      </c>
      <c r="AW17" s="58">
        <v>0</v>
      </c>
      <c r="AX17" s="58">
        <v>0</v>
      </c>
      <c r="AY17" s="70">
        <f t="shared" si="17"/>
        <v>0</v>
      </c>
      <c r="AZ17" s="58">
        <v>0</v>
      </c>
      <c r="BA17" s="58">
        <v>0</v>
      </c>
      <c r="BB17" s="58">
        <v>0</v>
      </c>
      <c r="BC17" s="59">
        <f t="shared" si="18"/>
        <v>0</v>
      </c>
      <c r="BD17" s="257">
        <v>0</v>
      </c>
      <c r="BE17" s="157">
        <v>0</v>
      </c>
      <c r="BF17" s="157">
        <v>0</v>
      </c>
      <c r="BG17" s="157">
        <v>0</v>
      </c>
      <c r="BH17" s="284">
        <f t="shared" si="19"/>
        <v>0</v>
      </c>
      <c r="BI17" s="157">
        <v>0</v>
      </c>
      <c r="BJ17" s="157">
        <v>0</v>
      </c>
      <c r="BK17" s="157">
        <v>0</v>
      </c>
      <c r="BL17" s="259">
        <f t="shared" si="20"/>
        <v>0</v>
      </c>
      <c r="BM17" s="257">
        <v>0</v>
      </c>
      <c r="BN17" s="157">
        <v>0</v>
      </c>
      <c r="BO17" s="260">
        <v>0</v>
      </c>
      <c r="BP17" s="157">
        <v>0</v>
      </c>
      <c r="BQ17" s="284">
        <f t="shared" si="21"/>
        <v>0</v>
      </c>
      <c r="BR17" s="157">
        <v>0</v>
      </c>
      <c r="BS17" s="157">
        <v>0</v>
      </c>
      <c r="BT17" s="157">
        <v>0</v>
      </c>
      <c r="BU17" s="259">
        <f t="shared" si="22"/>
        <v>0</v>
      </c>
      <c r="BV17" s="159">
        <v>0</v>
      </c>
      <c r="BW17" s="260">
        <v>0</v>
      </c>
      <c r="BX17" s="260">
        <v>0</v>
      </c>
      <c r="BY17" s="260">
        <v>0</v>
      </c>
      <c r="BZ17" s="284">
        <f t="shared" si="23"/>
        <v>0</v>
      </c>
      <c r="CA17" s="260">
        <v>0</v>
      </c>
      <c r="CB17" s="260">
        <v>0</v>
      </c>
      <c r="CC17" s="260">
        <v>0</v>
      </c>
      <c r="CD17" s="162">
        <f t="shared" si="24"/>
        <v>0</v>
      </c>
      <c r="CE17" s="257">
        <f t="shared" si="25"/>
        <v>246.913</v>
      </c>
      <c r="CF17" s="157">
        <f t="shared" si="26"/>
        <v>246.913</v>
      </c>
      <c r="CG17" s="157">
        <f t="shared" si="34"/>
        <v>0</v>
      </c>
      <c r="CH17" s="160">
        <f t="shared" si="27"/>
        <v>0</v>
      </c>
      <c r="CI17" s="159">
        <v>0</v>
      </c>
      <c r="CJ17" s="260">
        <v>0</v>
      </c>
      <c r="CK17" s="260">
        <v>0</v>
      </c>
      <c r="CL17" s="260">
        <v>0</v>
      </c>
      <c r="CM17" s="284">
        <f t="shared" si="6"/>
        <v>0</v>
      </c>
      <c r="CN17" s="260">
        <v>0</v>
      </c>
      <c r="CO17" s="260">
        <v>0</v>
      </c>
      <c r="CP17" s="260">
        <v>0</v>
      </c>
      <c r="CQ17" s="162">
        <f t="shared" si="28"/>
        <v>0</v>
      </c>
      <c r="CR17" s="159">
        <v>0</v>
      </c>
      <c r="CS17" s="260">
        <v>0</v>
      </c>
      <c r="CT17" s="260">
        <v>0</v>
      </c>
      <c r="CU17" s="260">
        <v>0</v>
      </c>
      <c r="CV17" s="284">
        <f t="shared" si="7"/>
        <v>0</v>
      </c>
      <c r="CW17" s="260">
        <v>0</v>
      </c>
      <c r="CX17" s="260">
        <v>0</v>
      </c>
      <c r="CY17" s="260">
        <v>0</v>
      </c>
      <c r="CZ17" s="162">
        <f t="shared" si="29"/>
        <v>0</v>
      </c>
      <c r="DA17" s="159">
        <v>0</v>
      </c>
      <c r="DB17" s="260">
        <v>0</v>
      </c>
      <c r="DC17" s="260">
        <v>0</v>
      </c>
      <c r="DD17" s="260">
        <v>0</v>
      </c>
      <c r="DE17" s="284">
        <f t="shared" si="30"/>
        <v>0</v>
      </c>
      <c r="DF17" s="260">
        <v>0</v>
      </c>
      <c r="DG17" s="260">
        <v>0</v>
      </c>
      <c r="DH17" s="260">
        <v>0</v>
      </c>
      <c r="DI17" s="162">
        <f t="shared" si="8"/>
        <v>0</v>
      </c>
      <c r="DJ17" s="159">
        <f t="shared" si="31"/>
        <v>246.913</v>
      </c>
      <c r="DK17" s="260">
        <f t="shared" si="32"/>
        <v>246.913</v>
      </c>
      <c r="DL17" s="260">
        <f t="shared" si="35"/>
        <v>0</v>
      </c>
      <c r="DM17" s="160">
        <f t="shared" si="33"/>
        <v>0</v>
      </c>
      <c r="DN17" s="84"/>
      <c r="DO17" s="80"/>
      <c r="DP17" s="80"/>
      <c r="DQ17" s="80"/>
      <c r="DR17" s="80"/>
      <c r="DS17" s="80"/>
      <c r="DT17" s="80"/>
    </row>
    <row r="18" spans="2:124" s="32" customFormat="1" ht="12.75">
      <c r="B18" s="8" t="s">
        <v>5</v>
      </c>
      <c r="C18" s="33" t="s">
        <v>54</v>
      </c>
      <c r="D18" s="29">
        <v>5.087</v>
      </c>
      <c r="E18" s="27">
        <v>0</v>
      </c>
      <c r="F18" s="27">
        <v>0</v>
      </c>
      <c r="G18" s="27">
        <v>0</v>
      </c>
      <c r="H18" s="14">
        <f t="shared" si="9"/>
        <v>0</v>
      </c>
      <c r="I18" s="29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14">
        <f t="shared" si="10"/>
        <v>0</v>
      </c>
      <c r="P18" s="12">
        <f>SUM(D18,E18,I18,J18)</f>
        <v>5.087</v>
      </c>
      <c r="Q18" s="13">
        <f>SUM(D18,I18)+SUM(F18,K18,M18)*-1</f>
        <v>5.087</v>
      </c>
      <c r="R18" s="34">
        <f t="shared" si="11"/>
        <v>0</v>
      </c>
      <c r="S18" s="57">
        <v>0</v>
      </c>
      <c r="T18" s="58">
        <v>0</v>
      </c>
      <c r="U18" s="58">
        <v>0</v>
      </c>
      <c r="V18" s="58">
        <v>0</v>
      </c>
      <c r="W18" s="59">
        <f t="shared" si="2"/>
        <v>0</v>
      </c>
      <c r="X18" s="57">
        <v>0</v>
      </c>
      <c r="Y18" s="58">
        <v>0</v>
      </c>
      <c r="Z18" s="58">
        <v>0</v>
      </c>
      <c r="AA18" s="58">
        <v>0</v>
      </c>
      <c r="AB18" s="59">
        <f t="shared" si="3"/>
        <v>0</v>
      </c>
      <c r="AC18" s="57">
        <v>0</v>
      </c>
      <c r="AD18" s="27">
        <v>0</v>
      </c>
      <c r="AE18" s="27">
        <v>0</v>
      </c>
      <c r="AF18" s="58">
        <v>0</v>
      </c>
      <c r="AG18" s="70">
        <f t="shared" si="4"/>
        <v>0</v>
      </c>
      <c r="AH18" s="57">
        <v>0</v>
      </c>
      <c r="AI18" s="58">
        <v>0</v>
      </c>
      <c r="AJ18" s="58">
        <v>0</v>
      </c>
      <c r="AK18" s="58">
        <v>0</v>
      </c>
      <c r="AL18" s="155">
        <f t="shared" si="5"/>
        <v>0</v>
      </c>
      <c r="AM18" s="58">
        <v>0</v>
      </c>
      <c r="AN18" s="58">
        <v>0</v>
      </c>
      <c r="AO18" s="58">
        <v>0</v>
      </c>
      <c r="AP18" s="14">
        <f t="shared" si="12"/>
        <v>0</v>
      </c>
      <c r="AQ18" s="57">
        <f t="shared" si="13"/>
        <v>5.087</v>
      </c>
      <c r="AR18" s="58">
        <f t="shared" si="14"/>
        <v>5.087</v>
      </c>
      <c r="AS18" s="58">
        <f t="shared" si="15"/>
        <v>0</v>
      </c>
      <c r="AT18" s="92">
        <f t="shared" si="16"/>
        <v>0</v>
      </c>
      <c r="AU18" s="57">
        <v>0</v>
      </c>
      <c r="AV18" s="58">
        <v>0</v>
      </c>
      <c r="AW18" s="58">
        <v>0</v>
      </c>
      <c r="AX18" s="58">
        <v>0</v>
      </c>
      <c r="AY18" s="70">
        <f t="shared" si="17"/>
        <v>0</v>
      </c>
      <c r="AZ18" s="58">
        <v>0</v>
      </c>
      <c r="BA18" s="58">
        <v>0</v>
      </c>
      <c r="BB18" s="58">
        <v>0</v>
      </c>
      <c r="BC18" s="59">
        <f t="shared" si="18"/>
        <v>0</v>
      </c>
      <c r="BD18" s="257">
        <v>0</v>
      </c>
      <c r="BE18" s="157">
        <v>0</v>
      </c>
      <c r="BF18" s="157">
        <v>0</v>
      </c>
      <c r="BG18" s="157">
        <v>0</v>
      </c>
      <c r="BH18" s="284">
        <f t="shared" si="19"/>
        <v>0</v>
      </c>
      <c r="BI18" s="157">
        <v>0</v>
      </c>
      <c r="BJ18" s="157">
        <v>0</v>
      </c>
      <c r="BK18" s="157">
        <v>0</v>
      </c>
      <c r="BL18" s="259">
        <f t="shared" si="20"/>
        <v>0</v>
      </c>
      <c r="BM18" s="257">
        <v>0</v>
      </c>
      <c r="BN18" s="157">
        <v>0</v>
      </c>
      <c r="BO18" s="260">
        <v>0</v>
      </c>
      <c r="BP18" s="157">
        <v>0</v>
      </c>
      <c r="BQ18" s="284">
        <f t="shared" si="21"/>
        <v>0</v>
      </c>
      <c r="BR18" s="157">
        <v>0</v>
      </c>
      <c r="BS18" s="157">
        <v>0</v>
      </c>
      <c r="BT18" s="157">
        <v>0</v>
      </c>
      <c r="BU18" s="259">
        <f t="shared" si="22"/>
        <v>0</v>
      </c>
      <c r="BV18" s="159">
        <v>0</v>
      </c>
      <c r="BW18" s="260">
        <v>0</v>
      </c>
      <c r="BX18" s="260">
        <v>0</v>
      </c>
      <c r="BY18" s="260">
        <v>0</v>
      </c>
      <c r="BZ18" s="284">
        <f t="shared" si="23"/>
        <v>0</v>
      </c>
      <c r="CA18" s="260">
        <v>0</v>
      </c>
      <c r="CB18" s="260">
        <v>0</v>
      </c>
      <c r="CC18" s="260">
        <v>0</v>
      </c>
      <c r="CD18" s="162">
        <f t="shared" si="24"/>
        <v>0</v>
      </c>
      <c r="CE18" s="257">
        <f t="shared" si="25"/>
        <v>5.087</v>
      </c>
      <c r="CF18" s="157">
        <f t="shared" si="26"/>
        <v>5.087</v>
      </c>
      <c r="CG18" s="157">
        <f t="shared" si="34"/>
        <v>0</v>
      </c>
      <c r="CH18" s="160">
        <f t="shared" si="27"/>
        <v>0</v>
      </c>
      <c r="CI18" s="159">
        <v>0</v>
      </c>
      <c r="CJ18" s="260">
        <v>0</v>
      </c>
      <c r="CK18" s="260">
        <v>0</v>
      </c>
      <c r="CL18" s="260">
        <v>0</v>
      </c>
      <c r="CM18" s="284">
        <f t="shared" si="6"/>
        <v>0</v>
      </c>
      <c r="CN18" s="260">
        <v>0</v>
      </c>
      <c r="CO18" s="260">
        <v>0</v>
      </c>
      <c r="CP18" s="260">
        <v>0</v>
      </c>
      <c r="CQ18" s="162">
        <f t="shared" si="28"/>
        <v>0</v>
      </c>
      <c r="CR18" s="159">
        <v>0</v>
      </c>
      <c r="CS18" s="260">
        <v>0</v>
      </c>
      <c r="CT18" s="260">
        <v>0</v>
      </c>
      <c r="CU18" s="260">
        <v>0</v>
      </c>
      <c r="CV18" s="284">
        <f t="shared" si="7"/>
        <v>0</v>
      </c>
      <c r="CW18" s="260">
        <v>0</v>
      </c>
      <c r="CX18" s="260">
        <v>0</v>
      </c>
      <c r="CY18" s="260">
        <v>0</v>
      </c>
      <c r="CZ18" s="162">
        <f t="shared" si="29"/>
        <v>0</v>
      </c>
      <c r="DA18" s="159">
        <v>0</v>
      </c>
      <c r="DB18" s="260">
        <v>0</v>
      </c>
      <c r="DC18" s="260">
        <v>0</v>
      </c>
      <c r="DD18" s="260">
        <v>0</v>
      </c>
      <c r="DE18" s="284">
        <f t="shared" si="30"/>
        <v>0</v>
      </c>
      <c r="DF18" s="260">
        <v>0</v>
      </c>
      <c r="DG18" s="260">
        <v>0</v>
      </c>
      <c r="DH18" s="260">
        <v>0</v>
      </c>
      <c r="DI18" s="162">
        <f t="shared" si="8"/>
        <v>0</v>
      </c>
      <c r="DJ18" s="159">
        <f t="shared" si="31"/>
        <v>5.087</v>
      </c>
      <c r="DK18" s="260">
        <f t="shared" si="32"/>
        <v>5.087</v>
      </c>
      <c r="DL18" s="260">
        <f t="shared" si="35"/>
        <v>0</v>
      </c>
      <c r="DM18" s="160">
        <f t="shared" si="33"/>
        <v>0</v>
      </c>
      <c r="DN18" s="84"/>
      <c r="DO18" s="80"/>
      <c r="DP18" s="80"/>
      <c r="DQ18" s="80"/>
      <c r="DR18" s="80"/>
      <c r="DS18" s="80"/>
      <c r="DT18" s="80"/>
    </row>
    <row r="19" spans="2:124" s="32" customFormat="1" ht="12.75">
      <c r="B19" s="8" t="s">
        <v>5</v>
      </c>
      <c r="C19" s="33" t="s">
        <v>53</v>
      </c>
      <c r="D19" s="29">
        <v>87</v>
      </c>
      <c r="E19" s="27">
        <v>0</v>
      </c>
      <c r="F19" s="27">
        <v>0</v>
      </c>
      <c r="G19" s="27">
        <v>0</v>
      </c>
      <c r="H19" s="14">
        <f t="shared" si="9"/>
        <v>0</v>
      </c>
      <c r="I19" s="29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14">
        <f t="shared" si="10"/>
        <v>0</v>
      </c>
      <c r="P19" s="12">
        <f>SUM(D19,E19,I19,J19)</f>
        <v>87</v>
      </c>
      <c r="Q19" s="13">
        <f>SUM(D19,I19)+SUM(F19,K19,M19)*-1</f>
        <v>87</v>
      </c>
      <c r="R19" s="34">
        <f t="shared" si="11"/>
        <v>0</v>
      </c>
      <c r="S19" s="57">
        <v>0</v>
      </c>
      <c r="T19" s="58">
        <v>0</v>
      </c>
      <c r="U19" s="58">
        <v>0</v>
      </c>
      <c r="V19" s="58">
        <v>0</v>
      </c>
      <c r="W19" s="59">
        <f t="shared" si="2"/>
        <v>0</v>
      </c>
      <c r="X19" s="57">
        <v>0</v>
      </c>
      <c r="Y19" s="58">
        <v>0</v>
      </c>
      <c r="Z19" s="58">
        <v>0</v>
      </c>
      <c r="AA19" s="58">
        <v>0</v>
      </c>
      <c r="AB19" s="59">
        <f t="shared" si="3"/>
        <v>0</v>
      </c>
      <c r="AC19" s="57">
        <v>0</v>
      </c>
      <c r="AD19" s="27">
        <v>0</v>
      </c>
      <c r="AE19" s="27">
        <v>0</v>
      </c>
      <c r="AF19" s="58">
        <v>0</v>
      </c>
      <c r="AG19" s="70">
        <f t="shared" si="4"/>
        <v>0</v>
      </c>
      <c r="AH19" s="57">
        <v>0</v>
      </c>
      <c r="AI19" s="58">
        <v>0</v>
      </c>
      <c r="AJ19" s="58">
        <v>0</v>
      </c>
      <c r="AK19" s="58">
        <v>0</v>
      </c>
      <c r="AL19" s="155">
        <f t="shared" si="5"/>
        <v>0</v>
      </c>
      <c r="AM19" s="58">
        <v>0</v>
      </c>
      <c r="AN19" s="58">
        <v>0</v>
      </c>
      <c r="AO19" s="58">
        <v>0</v>
      </c>
      <c r="AP19" s="14">
        <f t="shared" si="12"/>
        <v>0</v>
      </c>
      <c r="AQ19" s="57">
        <f t="shared" si="13"/>
        <v>87</v>
      </c>
      <c r="AR19" s="58">
        <f t="shared" si="14"/>
        <v>87</v>
      </c>
      <c r="AS19" s="58">
        <f t="shared" si="15"/>
        <v>0</v>
      </c>
      <c r="AT19" s="92">
        <f t="shared" si="16"/>
        <v>0</v>
      </c>
      <c r="AU19" s="57">
        <v>0</v>
      </c>
      <c r="AV19" s="58">
        <v>0</v>
      </c>
      <c r="AW19" s="58">
        <v>0</v>
      </c>
      <c r="AX19" s="58">
        <v>0</v>
      </c>
      <c r="AY19" s="70">
        <f t="shared" si="17"/>
        <v>0</v>
      </c>
      <c r="AZ19" s="58">
        <v>0</v>
      </c>
      <c r="BA19" s="58">
        <v>0</v>
      </c>
      <c r="BB19" s="58">
        <v>0</v>
      </c>
      <c r="BC19" s="59">
        <f t="shared" si="18"/>
        <v>0</v>
      </c>
      <c r="BD19" s="257">
        <v>0</v>
      </c>
      <c r="BE19" s="157">
        <v>0</v>
      </c>
      <c r="BF19" s="157">
        <v>0</v>
      </c>
      <c r="BG19" s="157">
        <v>0</v>
      </c>
      <c r="BH19" s="284">
        <f t="shared" si="19"/>
        <v>0</v>
      </c>
      <c r="BI19" s="157">
        <v>0</v>
      </c>
      <c r="BJ19" s="157">
        <v>0</v>
      </c>
      <c r="BK19" s="157">
        <v>0</v>
      </c>
      <c r="BL19" s="259">
        <f t="shared" si="20"/>
        <v>0</v>
      </c>
      <c r="BM19" s="257">
        <v>0</v>
      </c>
      <c r="BN19" s="157">
        <v>0</v>
      </c>
      <c r="BO19" s="260">
        <v>0</v>
      </c>
      <c r="BP19" s="157">
        <v>0</v>
      </c>
      <c r="BQ19" s="284">
        <f t="shared" si="21"/>
        <v>0</v>
      </c>
      <c r="BR19" s="157">
        <v>0</v>
      </c>
      <c r="BS19" s="157">
        <v>0</v>
      </c>
      <c r="BT19" s="157">
        <v>0</v>
      </c>
      <c r="BU19" s="259">
        <f t="shared" si="22"/>
        <v>0</v>
      </c>
      <c r="BV19" s="159">
        <v>0</v>
      </c>
      <c r="BW19" s="260">
        <v>0</v>
      </c>
      <c r="BX19" s="260">
        <v>0</v>
      </c>
      <c r="BY19" s="260">
        <v>0</v>
      </c>
      <c r="BZ19" s="284">
        <f t="shared" si="23"/>
        <v>0</v>
      </c>
      <c r="CA19" s="260">
        <v>0</v>
      </c>
      <c r="CB19" s="260">
        <v>0</v>
      </c>
      <c r="CC19" s="260">
        <v>0</v>
      </c>
      <c r="CD19" s="162">
        <f t="shared" si="24"/>
        <v>0</v>
      </c>
      <c r="CE19" s="257">
        <f t="shared" si="25"/>
        <v>87</v>
      </c>
      <c r="CF19" s="157">
        <f t="shared" si="26"/>
        <v>87</v>
      </c>
      <c r="CG19" s="157">
        <f t="shared" si="34"/>
        <v>0</v>
      </c>
      <c r="CH19" s="160">
        <f t="shared" si="27"/>
        <v>0</v>
      </c>
      <c r="CI19" s="159">
        <v>0</v>
      </c>
      <c r="CJ19" s="260">
        <v>0</v>
      </c>
      <c r="CK19" s="260">
        <v>0</v>
      </c>
      <c r="CL19" s="260">
        <v>0</v>
      </c>
      <c r="CM19" s="284">
        <f t="shared" si="6"/>
        <v>0</v>
      </c>
      <c r="CN19" s="260">
        <v>0</v>
      </c>
      <c r="CO19" s="260">
        <v>0</v>
      </c>
      <c r="CP19" s="260">
        <v>0</v>
      </c>
      <c r="CQ19" s="162">
        <f t="shared" si="28"/>
        <v>0</v>
      </c>
      <c r="CR19" s="159">
        <v>0</v>
      </c>
      <c r="CS19" s="260">
        <v>0</v>
      </c>
      <c r="CT19" s="260">
        <v>0</v>
      </c>
      <c r="CU19" s="260">
        <v>0</v>
      </c>
      <c r="CV19" s="284">
        <f t="shared" si="7"/>
        <v>0</v>
      </c>
      <c r="CW19" s="260">
        <v>0</v>
      </c>
      <c r="CX19" s="260">
        <v>0</v>
      </c>
      <c r="CY19" s="260">
        <v>0</v>
      </c>
      <c r="CZ19" s="162">
        <f t="shared" si="29"/>
        <v>0</v>
      </c>
      <c r="DA19" s="159">
        <v>0</v>
      </c>
      <c r="DB19" s="260">
        <v>0</v>
      </c>
      <c r="DC19" s="260">
        <v>0</v>
      </c>
      <c r="DD19" s="260">
        <v>0</v>
      </c>
      <c r="DE19" s="284">
        <f t="shared" si="30"/>
        <v>0</v>
      </c>
      <c r="DF19" s="260">
        <v>0</v>
      </c>
      <c r="DG19" s="260">
        <v>0</v>
      </c>
      <c r="DH19" s="260">
        <v>0</v>
      </c>
      <c r="DI19" s="162">
        <f t="shared" si="8"/>
        <v>0</v>
      </c>
      <c r="DJ19" s="159">
        <f t="shared" si="31"/>
        <v>87</v>
      </c>
      <c r="DK19" s="260">
        <f t="shared" si="32"/>
        <v>87</v>
      </c>
      <c r="DL19" s="260">
        <f t="shared" si="35"/>
        <v>0</v>
      </c>
      <c r="DM19" s="160">
        <f t="shared" si="33"/>
        <v>0</v>
      </c>
      <c r="DN19" s="84"/>
      <c r="DO19" s="80"/>
      <c r="DP19" s="80"/>
      <c r="DQ19" s="80"/>
      <c r="DR19" s="80"/>
      <c r="DS19" s="80"/>
      <c r="DT19" s="80"/>
    </row>
    <row r="20" spans="2:124" s="32" customFormat="1" ht="12.75">
      <c r="B20" s="8" t="s">
        <v>5</v>
      </c>
      <c r="C20" s="33" t="s">
        <v>52</v>
      </c>
      <c r="D20" s="29">
        <v>52</v>
      </c>
      <c r="E20" s="27">
        <v>0</v>
      </c>
      <c r="F20" s="27">
        <v>0</v>
      </c>
      <c r="G20" s="27">
        <v>0</v>
      </c>
      <c r="H20" s="14">
        <f>SUM(E20:G20)</f>
        <v>0</v>
      </c>
      <c r="I20" s="29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14">
        <f t="shared" si="10"/>
        <v>0</v>
      </c>
      <c r="P20" s="12">
        <f>SUM(D20,E20,I20,J20)</f>
        <v>52</v>
      </c>
      <c r="Q20" s="13">
        <f>SUM(D20,I20)+SUM(F20,K20,M20)*-1</f>
        <v>52</v>
      </c>
      <c r="R20" s="34">
        <f t="shared" si="11"/>
        <v>0</v>
      </c>
      <c r="S20" s="57">
        <v>0</v>
      </c>
      <c r="T20" s="58">
        <v>0</v>
      </c>
      <c r="U20" s="58">
        <v>0</v>
      </c>
      <c r="V20" s="58">
        <v>0</v>
      </c>
      <c r="W20" s="59">
        <f t="shared" si="2"/>
        <v>0</v>
      </c>
      <c r="X20" s="57">
        <v>0</v>
      </c>
      <c r="Y20" s="58">
        <v>0</v>
      </c>
      <c r="Z20" s="58">
        <v>0</v>
      </c>
      <c r="AA20" s="58">
        <v>0</v>
      </c>
      <c r="AB20" s="59">
        <f t="shared" si="3"/>
        <v>0</v>
      </c>
      <c r="AC20" s="57">
        <v>0</v>
      </c>
      <c r="AD20" s="27">
        <v>0</v>
      </c>
      <c r="AE20" s="27">
        <v>0</v>
      </c>
      <c r="AF20" s="58">
        <v>0</v>
      </c>
      <c r="AG20" s="70">
        <f t="shared" si="4"/>
        <v>0</v>
      </c>
      <c r="AH20" s="57">
        <v>0</v>
      </c>
      <c r="AI20" s="58">
        <v>0</v>
      </c>
      <c r="AJ20" s="58">
        <v>0</v>
      </c>
      <c r="AK20" s="58">
        <v>0</v>
      </c>
      <c r="AL20" s="70">
        <f t="shared" si="5"/>
        <v>0</v>
      </c>
      <c r="AM20" s="58">
        <v>0</v>
      </c>
      <c r="AN20" s="58">
        <v>0</v>
      </c>
      <c r="AO20" s="58">
        <v>0</v>
      </c>
      <c r="AP20" s="14">
        <f t="shared" si="12"/>
        <v>0</v>
      </c>
      <c r="AQ20" s="57">
        <f t="shared" si="13"/>
        <v>52</v>
      </c>
      <c r="AR20" s="58">
        <f t="shared" si="14"/>
        <v>52</v>
      </c>
      <c r="AS20" s="58">
        <f t="shared" si="15"/>
        <v>0</v>
      </c>
      <c r="AT20" s="92">
        <f t="shared" si="16"/>
        <v>0</v>
      </c>
      <c r="AU20" s="57">
        <v>0</v>
      </c>
      <c r="AV20" s="58">
        <v>0</v>
      </c>
      <c r="AW20" s="58">
        <v>0</v>
      </c>
      <c r="AX20" s="58">
        <v>0</v>
      </c>
      <c r="AY20" s="70">
        <f t="shared" si="17"/>
        <v>0</v>
      </c>
      <c r="AZ20" s="58">
        <v>0</v>
      </c>
      <c r="BA20" s="58">
        <v>0</v>
      </c>
      <c r="BB20" s="58">
        <v>0</v>
      </c>
      <c r="BC20" s="59">
        <f t="shared" si="18"/>
        <v>0</v>
      </c>
      <c r="BD20" s="257">
        <v>0</v>
      </c>
      <c r="BE20" s="157">
        <v>0</v>
      </c>
      <c r="BF20" s="157">
        <v>0</v>
      </c>
      <c r="BG20" s="157">
        <v>0</v>
      </c>
      <c r="BH20" s="284">
        <f t="shared" si="19"/>
        <v>0</v>
      </c>
      <c r="BI20" s="157">
        <v>0</v>
      </c>
      <c r="BJ20" s="157">
        <v>0</v>
      </c>
      <c r="BK20" s="157">
        <v>0</v>
      </c>
      <c r="BL20" s="259">
        <f t="shared" si="20"/>
        <v>0</v>
      </c>
      <c r="BM20" s="257">
        <v>0</v>
      </c>
      <c r="BN20" s="157">
        <v>0</v>
      </c>
      <c r="BO20" s="260">
        <v>0</v>
      </c>
      <c r="BP20" s="157">
        <v>0</v>
      </c>
      <c r="BQ20" s="284">
        <f t="shared" si="21"/>
        <v>0</v>
      </c>
      <c r="BR20" s="157">
        <v>0</v>
      </c>
      <c r="BS20" s="157">
        <v>0</v>
      </c>
      <c r="BT20" s="157">
        <v>0</v>
      </c>
      <c r="BU20" s="259">
        <f t="shared" si="22"/>
        <v>0</v>
      </c>
      <c r="BV20" s="159">
        <v>0</v>
      </c>
      <c r="BW20" s="260">
        <v>0</v>
      </c>
      <c r="BX20" s="260">
        <v>0</v>
      </c>
      <c r="BY20" s="260">
        <v>0</v>
      </c>
      <c r="BZ20" s="284">
        <f t="shared" si="23"/>
        <v>0</v>
      </c>
      <c r="CA20" s="260">
        <v>0</v>
      </c>
      <c r="CB20" s="260">
        <v>0</v>
      </c>
      <c r="CC20" s="260">
        <v>0</v>
      </c>
      <c r="CD20" s="162">
        <f t="shared" si="24"/>
        <v>0</v>
      </c>
      <c r="CE20" s="257">
        <f t="shared" si="25"/>
        <v>52</v>
      </c>
      <c r="CF20" s="157">
        <f t="shared" si="26"/>
        <v>52</v>
      </c>
      <c r="CG20" s="157">
        <f t="shared" si="34"/>
        <v>0</v>
      </c>
      <c r="CH20" s="160">
        <f t="shared" si="27"/>
        <v>0</v>
      </c>
      <c r="CI20" s="159">
        <v>0</v>
      </c>
      <c r="CJ20" s="260">
        <v>0</v>
      </c>
      <c r="CK20" s="260">
        <v>0</v>
      </c>
      <c r="CL20" s="260">
        <v>0</v>
      </c>
      <c r="CM20" s="284">
        <f t="shared" si="6"/>
        <v>0</v>
      </c>
      <c r="CN20" s="260">
        <v>0</v>
      </c>
      <c r="CO20" s="260">
        <v>0</v>
      </c>
      <c r="CP20" s="260">
        <v>0</v>
      </c>
      <c r="CQ20" s="162">
        <f t="shared" si="28"/>
        <v>0</v>
      </c>
      <c r="CR20" s="159">
        <v>0</v>
      </c>
      <c r="CS20" s="260">
        <v>0</v>
      </c>
      <c r="CT20" s="260">
        <v>0</v>
      </c>
      <c r="CU20" s="260">
        <v>0</v>
      </c>
      <c r="CV20" s="284">
        <f t="shared" si="7"/>
        <v>0</v>
      </c>
      <c r="CW20" s="260">
        <v>0</v>
      </c>
      <c r="CX20" s="260">
        <v>0</v>
      </c>
      <c r="CY20" s="260">
        <v>0</v>
      </c>
      <c r="CZ20" s="162">
        <f t="shared" si="29"/>
        <v>0</v>
      </c>
      <c r="DA20" s="159">
        <v>0</v>
      </c>
      <c r="DB20" s="260">
        <v>0</v>
      </c>
      <c r="DC20" s="260">
        <v>0</v>
      </c>
      <c r="DD20" s="260">
        <v>0</v>
      </c>
      <c r="DE20" s="284">
        <f t="shared" si="30"/>
        <v>0</v>
      </c>
      <c r="DF20" s="260">
        <v>0</v>
      </c>
      <c r="DG20" s="260">
        <v>0</v>
      </c>
      <c r="DH20" s="260">
        <v>0</v>
      </c>
      <c r="DI20" s="162">
        <f t="shared" si="8"/>
        <v>0</v>
      </c>
      <c r="DJ20" s="159">
        <f t="shared" si="31"/>
        <v>52</v>
      </c>
      <c r="DK20" s="260">
        <f t="shared" si="32"/>
        <v>52</v>
      </c>
      <c r="DL20" s="260">
        <f t="shared" si="35"/>
        <v>0</v>
      </c>
      <c r="DM20" s="160">
        <f t="shared" si="33"/>
        <v>0</v>
      </c>
      <c r="DN20" s="84"/>
      <c r="DO20" s="80"/>
      <c r="DP20" s="80"/>
      <c r="DQ20" s="80"/>
      <c r="DR20" s="80"/>
      <c r="DS20" s="80"/>
      <c r="DT20" s="80"/>
    </row>
    <row r="21" spans="2:124" s="32" customFormat="1" ht="12.75">
      <c r="B21" s="8" t="s">
        <v>5</v>
      </c>
      <c r="C21" s="33" t="s">
        <v>23</v>
      </c>
      <c r="D21" s="29">
        <v>60</v>
      </c>
      <c r="E21" s="27">
        <v>60</v>
      </c>
      <c r="F21" s="27">
        <v>-60</v>
      </c>
      <c r="G21" s="27">
        <v>0</v>
      </c>
      <c r="H21" s="14">
        <f t="shared" si="9"/>
        <v>0</v>
      </c>
      <c r="I21" s="29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14">
        <f t="shared" si="10"/>
        <v>0</v>
      </c>
      <c r="P21" s="12">
        <f t="shared" si="0"/>
        <v>120</v>
      </c>
      <c r="Q21" s="13">
        <f t="shared" si="1"/>
        <v>120</v>
      </c>
      <c r="R21" s="34">
        <f t="shared" si="11"/>
        <v>0</v>
      </c>
      <c r="S21" s="57">
        <v>0</v>
      </c>
      <c r="T21" s="58">
        <v>0</v>
      </c>
      <c r="U21" s="58">
        <v>0</v>
      </c>
      <c r="V21" s="58">
        <v>0</v>
      </c>
      <c r="W21" s="59">
        <f t="shared" si="2"/>
        <v>0</v>
      </c>
      <c r="X21" s="57">
        <v>0</v>
      </c>
      <c r="Y21" s="58">
        <v>0</v>
      </c>
      <c r="Z21" s="58">
        <v>0</v>
      </c>
      <c r="AA21" s="58">
        <v>0</v>
      </c>
      <c r="AB21" s="59">
        <f t="shared" si="3"/>
        <v>0</v>
      </c>
      <c r="AC21" s="57">
        <v>0</v>
      </c>
      <c r="AD21" s="27">
        <v>0</v>
      </c>
      <c r="AE21" s="27">
        <v>0</v>
      </c>
      <c r="AF21" s="58">
        <v>0</v>
      </c>
      <c r="AG21" s="70">
        <f t="shared" si="4"/>
        <v>0</v>
      </c>
      <c r="AH21" s="57">
        <v>0</v>
      </c>
      <c r="AI21" s="58">
        <v>0</v>
      </c>
      <c r="AJ21" s="58">
        <v>0</v>
      </c>
      <c r="AK21" s="58">
        <v>0</v>
      </c>
      <c r="AL21" s="70">
        <f t="shared" si="5"/>
        <v>0</v>
      </c>
      <c r="AM21" s="58">
        <v>0</v>
      </c>
      <c r="AN21" s="58">
        <v>0</v>
      </c>
      <c r="AO21" s="58">
        <v>0</v>
      </c>
      <c r="AP21" s="14">
        <f t="shared" si="12"/>
        <v>0</v>
      </c>
      <c r="AQ21" s="57">
        <f t="shared" si="13"/>
        <v>120</v>
      </c>
      <c r="AR21" s="58">
        <f t="shared" si="14"/>
        <v>120</v>
      </c>
      <c r="AS21" s="58">
        <f t="shared" si="15"/>
        <v>0</v>
      </c>
      <c r="AT21" s="92">
        <f t="shared" si="16"/>
        <v>0</v>
      </c>
      <c r="AU21" s="57">
        <v>0</v>
      </c>
      <c r="AV21" s="58">
        <v>0</v>
      </c>
      <c r="AW21" s="58">
        <v>0</v>
      </c>
      <c r="AX21" s="58">
        <v>0</v>
      </c>
      <c r="AY21" s="70">
        <f t="shared" si="17"/>
        <v>0</v>
      </c>
      <c r="AZ21" s="58">
        <v>0</v>
      </c>
      <c r="BA21" s="58">
        <v>0</v>
      </c>
      <c r="BB21" s="58">
        <v>0</v>
      </c>
      <c r="BC21" s="59">
        <f t="shared" si="18"/>
        <v>0</v>
      </c>
      <c r="BD21" s="257">
        <v>0</v>
      </c>
      <c r="BE21" s="157">
        <v>0</v>
      </c>
      <c r="BF21" s="157">
        <v>0</v>
      </c>
      <c r="BG21" s="157">
        <v>0</v>
      </c>
      <c r="BH21" s="284">
        <f t="shared" si="19"/>
        <v>0</v>
      </c>
      <c r="BI21" s="157">
        <v>0</v>
      </c>
      <c r="BJ21" s="157">
        <v>0</v>
      </c>
      <c r="BK21" s="157">
        <v>0</v>
      </c>
      <c r="BL21" s="259">
        <f t="shared" si="20"/>
        <v>0</v>
      </c>
      <c r="BM21" s="257">
        <v>0</v>
      </c>
      <c r="BN21" s="157">
        <v>0</v>
      </c>
      <c r="BO21" s="260">
        <v>0</v>
      </c>
      <c r="BP21" s="157">
        <v>0</v>
      </c>
      <c r="BQ21" s="284">
        <f t="shared" si="21"/>
        <v>0</v>
      </c>
      <c r="BR21" s="157">
        <v>0</v>
      </c>
      <c r="BS21" s="157">
        <v>0</v>
      </c>
      <c r="BT21" s="157">
        <v>0</v>
      </c>
      <c r="BU21" s="259">
        <f t="shared" si="22"/>
        <v>0</v>
      </c>
      <c r="BV21" s="159">
        <v>0</v>
      </c>
      <c r="BW21" s="260">
        <v>0</v>
      </c>
      <c r="BX21" s="260">
        <v>0</v>
      </c>
      <c r="BY21" s="260">
        <v>0</v>
      </c>
      <c r="BZ21" s="284">
        <f t="shared" si="23"/>
        <v>0</v>
      </c>
      <c r="CA21" s="260">
        <v>0</v>
      </c>
      <c r="CB21" s="260">
        <v>0</v>
      </c>
      <c r="CC21" s="260">
        <v>0</v>
      </c>
      <c r="CD21" s="162">
        <f t="shared" si="24"/>
        <v>0</v>
      </c>
      <c r="CE21" s="257">
        <f t="shared" si="25"/>
        <v>120</v>
      </c>
      <c r="CF21" s="157">
        <f t="shared" si="26"/>
        <v>120</v>
      </c>
      <c r="CG21" s="157">
        <f t="shared" si="34"/>
        <v>0</v>
      </c>
      <c r="CH21" s="160">
        <f t="shared" si="27"/>
        <v>0</v>
      </c>
      <c r="CI21" s="159">
        <v>0</v>
      </c>
      <c r="CJ21" s="260">
        <v>0</v>
      </c>
      <c r="CK21" s="260">
        <v>0</v>
      </c>
      <c r="CL21" s="260">
        <v>0</v>
      </c>
      <c r="CM21" s="284">
        <f t="shared" si="6"/>
        <v>0</v>
      </c>
      <c r="CN21" s="260">
        <v>0</v>
      </c>
      <c r="CO21" s="260">
        <v>0</v>
      </c>
      <c r="CP21" s="260">
        <v>0</v>
      </c>
      <c r="CQ21" s="162">
        <f t="shared" si="28"/>
        <v>0</v>
      </c>
      <c r="CR21" s="159">
        <v>0</v>
      </c>
      <c r="CS21" s="260">
        <v>0</v>
      </c>
      <c r="CT21" s="260">
        <v>0</v>
      </c>
      <c r="CU21" s="260">
        <v>0</v>
      </c>
      <c r="CV21" s="284">
        <f t="shared" si="7"/>
        <v>0</v>
      </c>
      <c r="CW21" s="260">
        <v>0</v>
      </c>
      <c r="CX21" s="260">
        <v>0</v>
      </c>
      <c r="CY21" s="260">
        <v>0</v>
      </c>
      <c r="CZ21" s="162">
        <f t="shared" si="29"/>
        <v>0</v>
      </c>
      <c r="DA21" s="159">
        <v>0</v>
      </c>
      <c r="DB21" s="260">
        <v>0</v>
      </c>
      <c r="DC21" s="260">
        <v>0</v>
      </c>
      <c r="DD21" s="260">
        <v>0</v>
      </c>
      <c r="DE21" s="284">
        <f t="shared" si="30"/>
        <v>0</v>
      </c>
      <c r="DF21" s="260">
        <v>0</v>
      </c>
      <c r="DG21" s="260">
        <v>0</v>
      </c>
      <c r="DH21" s="260">
        <v>0</v>
      </c>
      <c r="DI21" s="162">
        <f t="shared" si="8"/>
        <v>0</v>
      </c>
      <c r="DJ21" s="159">
        <f t="shared" si="31"/>
        <v>120</v>
      </c>
      <c r="DK21" s="260">
        <f t="shared" si="32"/>
        <v>120</v>
      </c>
      <c r="DL21" s="260">
        <f t="shared" si="35"/>
        <v>0</v>
      </c>
      <c r="DM21" s="160">
        <f t="shared" si="33"/>
        <v>0</v>
      </c>
      <c r="DN21" s="84"/>
      <c r="DO21" s="80"/>
      <c r="DP21" s="80"/>
      <c r="DQ21" s="80"/>
      <c r="DR21" s="80"/>
      <c r="DS21" s="80"/>
      <c r="DT21" s="80"/>
    </row>
    <row r="22" spans="2:124" s="31" customFormat="1" ht="12.75">
      <c r="B22" s="109" t="s">
        <v>42</v>
      </c>
      <c r="C22" s="110"/>
      <c r="D22" s="111">
        <f aca="true" t="shared" si="36" ref="D22:AT22">SUM(D8:D21)</f>
        <v>2745</v>
      </c>
      <c r="E22" s="112">
        <f t="shared" si="36"/>
        <v>10882.699999999999</v>
      </c>
      <c r="F22" s="112">
        <f t="shared" si="36"/>
        <v>-9839.457</v>
      </c>
      <c r="G22" s="112">
        <f t="shared" si="36"/>
        <v>0</v>
      </c>
      <c r="H22" s="113">
        <f t="shared" si="36"/>
        <v>1043.2429999999997</v>
      </c>
      <c r="I22" s="111">
        <f t="shared" si="36"/>
        <v>84.7</v>
      </c>
      <c r="J22" s="112">
        <f t="shared" si="36"/>
        <v>585.6569999999999</v>
      </c>
      <c r="K22" s="112">
        <f t="shared" si="36"/>
        <v>-1276.8</v>
      </c>
      <c r="L22" s="112">
        <f t="shared" si="36"/>
        <v>0</v>
      </c>
      <c r="M22" s="112">
        <f t="shared" si="36"/>
        <v>-15.969999999999999</v>
      </c>
      <c r="N22" s="112">
        <f t="shared" si="36"/>
        <v>0</v>
      </c>
      <c r="O22" s="113">
        <f t="shared" si="36"/>
        <v>336.12999999999965</v>
      </c>
      <c r="P22" s="111">
        <f t="shared" si="36"/>
        <v>14298.057</v>
      </c>
      <c r="Q22" s="112">
        <f t="shared" si="36"/>
        <v>13961.927000000001</v>
      </c>
      <c r="R22" s="113">
        <f t="shared" si="36"/>
        <v>336.23</v>
      </c>
      <c r="S22" s="114">
        <f t="shared" si="36"/>
        <v>0</v>
      </c>
      <c r="T22" s="115">
        <f t="shared" si="36"/>
        <v>82.2</v>
      </c>
      <c r="U22" s="115">
        <f t="shared" si="36"/>
        <v>-68.194</v>
      </c>
      <c r="V22" s="115">
        <f t="shared" si="36"/>
        <v>0</v>
      </c>
      <c r="W22" s="116">
        <f t="shared" si="36"/>
        <v>350.236</v>
      </c>
      <c r="X22" s="114">
        <f t="shared" si="36"/>
        <v>0</v>
      </c>
      <c r="Y22" s="115">
        <f t="shared" si="36"/>
        <v>-46.759</v>
      </c>
      <c r="Z22" s="115">
        <f t="shared" si="36"/>
        <v>25.044999999999995</v>
      </c>
      <c r="AA22" s="115">
        <f t="shared" si="36"/>
        <v>0</v>
      </c>
      <c r="AB22" s="116">
        <f t="shared" si="36"/>
        <v>328.52200000000005</v>
      </c>
      <c r="AC22" s="114">
        <f t="shared" si="36"/>
        <v>2.3</v>
      </c>
      <c r="AD22" s="112">
        <f t="shared" si="36"/>
        <v>-4.650000000000002</v>
      </c>
      <c r="AE22" s="112">
        <f t="shared" si="36"/>
        <v>-20.35</v>
      </c>
      <c r="AF22" s="115">
        <f t="shared" si="36"/>
        <v>0</v>
      </c>
      <c r="AG22" s="115">
        <f t="shared" si="36"/>
        <v>303.52200000000005</v>
      </c>
      <c r="AH22" s="114">
        <f t="shared" si="36"/>
        <v>6.22</v>
      </c>
      <c r="AI22" s="112">
        <f t="shared" si="36"/>
        <v>79.09199999999998</v>
      </c>
      <c r="AJ22" s="112">
        <f t="shared" si="36"/>
        <v>-36.99999999999999</v>
      </c>
      <c r="AK22" s="115">
        <f t="shared" si="36"/>
        <v>-0.001</v>
      </c>
      <c r="AL22" s="115">
        <f t="shared" si="36"/>
        <v>345.61300000000006</v>
      </c>
      <c r="AM22" s="115">
        <f t="shared" si="36"/>
        <v>0</v>
      </c>
      <c r="AN22" s="115">
        <f t="shared" si="36"/>
        <v>0</v>
      </c>
      <c r="AO22" s="115">
        <f t="shared" si="36"/>
        <v>0</v>
      </c>
      <c r="AP22" s="116">
        <f t="shared" si="36"/>
        <v>0</v>
      </c>
      <c r="AQ22" s="114">
        <f t="shared" si="36"/>
        <v>14416.459</v>
      </c>
      <c r="AR22" s="115">
        <f t="shared" si="36"/>
        <v>14070.946</v>
      </c>
      <c r="AS22" s="115">
        <f t="shared" si="36"/>
        <v>345.6129999999986</v>
      </c>
      <c r="AT22" s="113">
        <f t="shared" si="36"/>
        <v>0</v>
      </c>
      <c r="AU22" s="114">
        <f aca="true" t="shared" si="37" ref="AU22:BC22">SUM(AU8:AU21)</f>
        <v>0</v>
      </c>
      <c r="AV22" s="112">
        <f t="shared" si="37"/>
        <v>6.252000000000001</v>
      </c>
      <c r="AW22" s="112">
        <f t="shared" si="37"/>
        <v>-30.956</v>
      </c>
      <c r="AX22" s="115">
        <f t="shared" si="37"/>
        <v>-0.196</v>
      </c>
      <c r="AY22" s="115">
        <f t="shared" si="37"/>
        <v>320.7129999999986</v>
      </c>
      <c r="AZ22" s="115">
        <f t="shared" si="37"/>
        <v>0</v>
      </c>
      <c r="BA22" s="115">
        <f t="shared" si="37"/>
        <v>0</v>
      </c>
      <c r="BB22" s="115">
        <f t="shared" si="37"/>
        <v>0</v>
      </c>
      <c r="BC22" s="116">
        <f t="shared" si="37"/>
        <v>0</v>
      </c>
      <c r="BD22" s="265">
        <f aca="true" t="shared" si="38" ref="BD22:BL22">SUM(BD8:BD21)</f>
        <v>0</v>
      </c>
      <c r="BE22" s="266">
        <f t="shared" si="38"/>
        <v>-72.067</v>
      </c>
      <c r="BF22" s="266">
        <f t="shared" si="38"/>
        <v>-43.150999999999996</v>
      </c>
      <c r="BG22" s="267">
        <f t="shared" si="38"/>
        <v>0.3</v>
      </c>
      <c r="BH22" s="266">
        <f t="shared" si="38"/>
        <v>205.7949999999986</v>
      </c>
      <c r="BI22" s="267">
        <f t="shared" si="38"/>
        <v>0</v>
      </c>
      <c r="BJ22" s="267">
        <f t="shared" si="38"/>
        <v>0</v>
      </c>
      <c r="BK22" s="267">
        <f t="shared" si="38"/>
        <v>0</v>
      </c>
      <c r="BL22" s="158">
        <f t="shared" si="38"/>
        <v>0</v>
      </c>
      <c r="BM22" s="265">
        <f aca="true" t="shared" si="39" ref="BM22:BU22">SUM(BM8:BM21)</f>
        <v>0</v>
      </c>
      <c r="BN22" s="266">
        <f t="shared" si="39"/>
        <v>0</v>
      </c>
      <c r="BO22" s="266">
        <f t="shared" si="39"/>
        <v>-49.158472</v>
      </c>
      <c r="BP22" s="267">
        <f t="shared" si="39"/>
        <v>-4.440892098500626E-16</v>
      </c>
      <c r="BQ22" s="266">
        <f t="shared" si="39"/>
        <v>156.63652799999858</v>
      </c>
      <c r="BR22" s="267">
        <f t="shared" si="39"/>
        <v>0</v>
      </c>
      <c r="BS22" s="267">
        <f t="shared" si="39"/>
        <v>0</v>
      </c>
      <c r="BT22" s="267">
        <f t="shared" si="39"/>
        <v>0</v>
      </c>
      <c r="BU22" s="158">
        <f t="shared" si="39"/>
        <v>0</v>
      </c>
      <c r="BV22" s="265">
        <f aca="true" t="shared" si="40" ref="BV22:CD22">SUM(BV8:BV21)</f>
        <v>0</v>
      </c>
      <c r="BW22" s="266">
        <f t="shared" si="40"/>
        <v>0</v>
      </c>
      <c r="BX22" s="266">
        <f t="shared" si="40"/>
        <v>-20.17827</v>
      </c>
      <c r="BY22" s="267">
        <f t="shared" si="40"/>
        <v>-47</v>
      </c>
      <c r="BZ22" s="266">
        <f t="shared" si="40"/>
        <v>89.4582579999986</v>
      </c>
      <c r="CA22" s="267">
        <f t="shared" si="40"/>
        <v>0</v>
      </c>
      <c r="CB22" s="267">
        <f t="shared" si="40"/>
        <v>0</v>
      </c>
      <c r="CC22" s="267">
        <f t="shared" si="40"/>
        <v>0</v>
      </c>
      <c r="CD22" s="158">
        <f t="shared" si="40"/>
        <v>0</v>
      </c>
      <c r="CE22" s="265">
        <f>SUM(CE8:CE21)</f>
        <v>14303.748000000001</v>
      </c>
      <c r="CF22" s="267">
        <f>SUM(CF8:CF21)</f>
        <v>14214.389742</v>
      </c>
      <c r="CG22" s="267">
        <f>SUM(CG8:CG21)</f>
        <v>89.45825799999983</v>
      </c>
      <c r="CH22" s="316">
        <f>SUM(CH8:CH21)</f>
        <v>0</v>
      </c>
      <c r="CI22" s="265">
        <f aca="true" t="shared" si="41" ref="CI22:CQ22">SUM(CI8:CI21)</f>
        <v>0</v>
      </c>
      <c r="CJ22" s="266">
        <f t="shared" si="41"/>
        <v>0</v>
      </c>
      <c r="CK22" s="266">
        <f t="shared" si="41"/>
        <v>-15.31</v>
      </c>
      <c r="CL22" s="267">
        <f t="shared" si="41"/>
        <v>0</v>
      </c>
      <c r="CM22" s="266">
        <f t="shared" si="41"/>
        <v>74.14825799999984</v>
      </c>
      <c r="CN22" s="267">
        <f t="shared" si="41"/>
        <v>0</v>
      </c>
      <c r="CO22" s="267">
        <f t="shared" si="41"/>
        <v>0</v>
      </c>
      <c r="CP22" s="267">
        <f t="shared" si="41"/>
        <v>0</v>
      </c>
      <c r="CQ22" s="158">
        <f t="shared" si="41"/>
        <v>0</v>
      </c>
      <c r="CR22" s="265">
        <f aca="true" t="shared" si="42" ref="CR22:CZ22">SUM(CR8:CR21)</f>
        <v>0</v>
      </c>
      <c r="CS22" s="266">
        <f t="shared" si="42"/>
        <v>0</v>
      </c>
      <c r="CT22" s="266">
        <f t="shared" si="42"/>
        <v>-4.368</v>
      </c>
      <c r="CU22" s="267">
        <f t="shared" si="42"/>
        <v>0</v>
      </c>
      <c r="CV22" s="266">
        <f t="shared" si="42"/>
        <v>-4.368</v>
      </c>
      <c r="CW22" s="267">
        <f t="shared" si="42"/>
        <v>0</v>
      </c>
      <c r="CX22" s="267">
        <f t="shared" si="42"/>
        <v>0</v>
      </c>
      <c r="CY22" s="267">
        <f t="shared" si="42"/>
        <v>0</v>
      </c>
      <c r="CZ22" s="158">
        <f t="shared" si="42"/>
        <v>0</v>
      </c>
      <c r="DA22" s="382">
        <f aca="true" t="shared" si="43" ref="DA22:DI22">SUM(DA8:DA21)</f>
        <v>0</v>
      </c>
      <c r="DB22" s="266">
        <f t="shared" si="43"/>
        <v>0</v>
      </c>
      <c r="DC22" s="266">
        <f t="shared" si="43"/>
        <v>-12.753085</v>
      </c>
      <c r="DD22" s="383">
        <f t="shared" si="43"/>
        <v>0</v>
      </c>
      <c r="DE22" s="266">
        <f t="shared" si="43"/>
        <v>-17.121085</v>
      </c>
      <c r="DF22" s="383">
        <f t="shared" si="43"/>
        <v>0</v>
      </c>
      <c r="DG22" s="383">
        <f t="shared" si="43"/>
        <v>0</v>
      </c>
      <c r="DH22" s="383">
        <f t="shared" si="43"/>
        <v>0</v>
      </c>
      <c r="DI22" s="384">
        <f t="shared" si="43"/>
        <v>0</v>
      </c>
      <c r="DJ22" s="275">
        <f>SUM(DJ8:DJ21)</f>
        <v>14303.748</v>
      </c>
      <c r="DK22" s="266">
        <f>SUM(DK8:DK21)</f>
        <v>14246.820827000001</v>
      </c>
      <c r="DL22" s="266">
        <f>SUM(DL8:DL21)</f>
        <v>57.02717299999929</v>
      </c>
      <c r="DM22" s="316">
        <f>SUM(DM8:DM21)</f>
        <v>0</v>
      </c>
      <c r="DN22" s="84"/>
      <c r="DO22" s="30"/>
      <c r="DP22" s="30"/>
      <c r="DQ22" s="30"/>
      <c r="DR22" s="30"/>
      <c r="DS22" s="30"/>
      <c r="DT22" s="30"/>
    </row>
    <row r="23" spans="2:124" s="32" customFormat="1" ht="4.5" customHeight="1">
      <c r="B23" s="8"/>
      <c r="C23" s="33"/>
      <c r="D23" s="29"/>
      <c r="E23" s="27"/>
      <c r="F23" s="27"/>
      <c r="G23" s="27"/>
      <c r="H23" s="14"/>
      <c r="I23" s="29"/>
      <c r="J23" s="27"/>
      <c r="K23" s="27"/>
      <c r="L23" s="27"/>
      <c r="M23" s="27"/>
      <c r="N23" s="27"/>
      <c r="O23" s="14"/>
      <c r="P23" s="12"/>
      <c r="Q23" s="13"/>
      <c r="R23" s="34"/>
      <c r="S23" s="54"/>
      <c r="T23" s="55"/>
      <c r="U23" s="55"/>
      <c r="V23" s="55"/>
      <c r="W23" s="56"/>
      <c r="X23" s="54"/>
      <c r="Y23" s="55"/>
      <c r="Z23" s="55"/>
      <c r="AA23" s="55"/>
      <c r="AB23" s="56"/>
      <c r="AC23" s="54"/>
      <c r="AD23" s="27"/>
      <c r="AE23" s="27"/>
      <c r="AF23" s="55"/>
      <c r="AG23" s="93"/>
      <c r="AH23" s="94"/>
      <c r="AI23" s="93"/>
      <c r="AJ23" s="93"/>
      <c r="AK23" s="93"/>
      <c r="AL23" s="93"/>
      <c r="AM23" s="93"/>
      <c r="AN23" s="93"/>
      <c r="AO23" s="93"/>
      <c r="AP23" s="56"/>
      <c r="AQ23" s="57"/>
      <c r="AR23" s="58"/>
      <c r="AS23" s="58"/>
      <c r="AT23" s="92"/>
      <c r="AU23" s="94"/>
      <c r="AV23" s="93"/>
      <c r="AW23" s="93"/>
      <c r="AX23" s="93"/>
      <c r="AY23" s="93"/>
      <c r="AZ23" s="93"/>
      <c r="BA23" s="93"/>
      <c r="BB23" s="93"/>
      <c r="BC23" s="56"/>
      <c r="BD23" s="268"/>
      <c r="BE23" s="269"/>
      <c r="BF23" s="269"/>
      <c r="BG23" s="269"/>
      <c r="BH23" s="284"/>
      <c r="BI23" s="269"/>
      <c r="BJ23" s="269"/>
      <c r="BK23" s="269"/>
      <c r="BL23" s="270"/>
      <c r="BM23" s="268"/>
      <c r="BN23" s="269"/>
      <c r="BO23" s="284"/>
      <c r="BP23" s="269"/>
      <c r="BQ23" s="284"/>
      <c r="BR23" s="269"/>
      <c r="BS23" s="269"/>
      <c r="BT23" s="269"/>
      <c r="BU23" s="270"/>
      <c r="BV23" s="268"/>
      <c r="BW23" s="269"/>
      <c r="BX23" s="284"/>
      <c r="BY23" s="269"/>
      <c r="BZ23" s="284"/>
      <c r="CA23" s="269"/>
      <c r="CB23" s="269"/>
      <c r="CC23" s="269"/>
      <c r="CD23" s="270"/>
      <c r="CE23" s="257"/>
      <c r="CF23" s="157"/>
      <c r="CG23" s="157"/>
      <c r="CH23" s="160"/>
      <c r="CI23" s="268"/>
      <c r="CJ23" s="269"/>
      <c r="CK23" s="284"/>
      <c r="CL23" s="269"/>
      <c r="CM23" s="284"/>
      <c r="CN23" s="269"/>
      <c r="CO23" s="269"/>
      <c r="CP23" s="269"/>
      <c r="CQ23" s="270"/>
      <c r="CR23" s="268"/>
      <c r="CS23" s="269"/>
      <c r="CT23" s="284"/>
      <c r="CU23" s="269"/>
      <c r="CV23" s="284"/>
      <c r="CW23" s="269"/>
      <c r="CX23" s="269"/>
      <c r="CY23" s="269"/>
      <c r="CZ23" s="270"/>
      <c r="DA23" s="268"/>
      <c r="DB23" s="269"/>
      <c r="DC23" s="284"/>
      <c r="DD23" s="269"/>
      <c r="DE23" s="284"/>
      <c r="DF23" s="269"/>
      <c r="DG23" s="269"/>
      <c r="DH23" s="269"/>
      <c r="DI23" s="270"/>
      <c r="DJ23" s="371"/>
      <c r="DK23" s="363"/>
      <c r="DL23" s="363"/>
      <c r="DM23" s="372"/>
      <c r="DN23" s="84"/>
      <c r="DO23" s="80"/>
      <c r="DP23" s="80"/>
      <c r="DQ23" s="80"/>
      <c r="DR23" s="80"/>
      <c r="DS23" s="80"/>
      <c r="DT23" s="80"/>
    </row>
    <row r="24" spans="2:124" s="32" customFormat="1" ht="12.75">
      <c r="B24" s="8" t="s">
        <v>10</v>
      </c>
      <c r="C24" s="33" t="s">
        <v>24</v>
      </c>
      <c r="D24" s="29">
        <v>25</v>
      </c>
      <c r="E24" s="27">
        <v>434</v>
      </c>
      <c r="F24" s="27">
        <v>-15</v>
      </c>
      <c r="G24" s="27">
        <v>7.95</v>
      </c>
      <c r="H24" s="14">
        <f t="shared" si="9"/>
        <v>426.95</v>
      </c>
      <c r="I24" s="29">
        <v>0</v>
      </c>
      <c r="J24" s="27">
        <v>0.04</v>
      </c>
      <c r="K24" s="27">
        <v>-30</v>
      </c>
      <c r="L24" s="27">
        <v>24.06</v>
      </c>
      <c r="M24" s="58">
        <v>0</v>
      </c>
      <c r="N24" s="58">
        <v>0</v>
      </c>
      <c r="O24" s="59">
        <f t="shared" si="10"/>
        <v>421.05</v>
      </c>
      <c r="P24" s="57">
        <f>SUM(D24,E24,I24,J24,L24,G24)</f>
        <v>491.05</v>
      </c>
      <c r="Q24" s="58">
        <f>SUM(D24,I24)+SUM(F24,K24,M24)*-1</f>
        <v>70</v>
      </c>
      <c r="R24" s="66">
        <f>SUM(P24-Q24)</f>
        <v>421.05</v>
      </c>
      <c r="S24" s="57">
        <v>0</v>
      </c>
      <c r="T24" s="58">
        <v>0</v>
      </c>
      <c r="U24" s="58">
        <v>-9.54</v>
      </c>
      <c r="V24" s="58">
        <v>0.38</v>
      </c>
      <c r="W24" s="59">
        <f>SUM(R24,T24:V24)</f>
        <v>411.89</v>
      </c>
      <c r="X24" s="57">
        <v>0</v>
      </c>
      <c r="Y24" s="58">
        <v>0</v>
      </c>
      <c r="Z24" s="58">
        <v>-14.8</v>
      </c>
      <c r="AA24" s="58">
        <v>0.48</v>
      </c>
      <c r="AB24" s="59">
        <f>SUM(W24,Y24:AA24)</f>
        <v>397.57</v>
      </c>
      <c r="AC24" s="57">
        <v>0</v>
      </c>
      <c r="AD24" s="58">
        <v>0</v>
      </c>
      <c r="AE24" s="58">
        <v>-10.692</v>
      </c>
      <c r="AF24" s="58">
        <v>0.37</v>
      </c>
      <c r="AG24" s="70">
        <f>SUM(AB24,AD24:AF24)</f>
        <v>387.248</v>
      </c>
      <c r="AH24" s="57">
        <v>0</v>
      </c>
      <c r="AI24" s="58">
        <v>0</v>
      </c>
      <c r="AJ24" s="27">
        <v>-11.945</v>
      </c>
      <c r="AK24" s="58">
        <v>0.45</v>
      </c>
      <c r="AL24" s="70">
        <f>SUM(AG24,AI24:AK24)</f>
        <v>375.753</v>
      </c>
      <c r="AM24" s="58">
        <v>0</v>
      </c>
      <c r="AN24" s="58">
        <v>0</v>
      </c>
      <c r="AO24" s="58">
        <v>0</v>
      </c>
      <c r="AP24" s="59">
        <f>SUM(AM24:AO24)</f>
        <v>0</v>
      </c>
      <c r="AQ24" s="57">
        <f>SUM(P24,S24,T24,V24,X24,Y24,AA24,AC24,AD24,AF24,AH24,AI24,AK24,AM24,AO24)</f>
        <v>492.73</v>
      </c>
      <c r="AR24" s="58">
        <f>SUM(Q24)+(S24+X24+AC24+AH24)+SUM((U24+Z24+AE24+AJ24+AN24)*-1)</f>
        <v>116.977</v>
      </c>
      <c r="AS24" s="58">
        <f>SUM(AQ24-AR24)</f>
        <v>375.75300000000004</v>
      </c>
      <c r="AT24" s="92">
        <f>SUM(AP24)</f>
        <v>0</v>
      </c>
      <c r="AU24" s="57">
        <v>0</v>
      </c>
      <c r="AV24" s="58">
        <v>0</v>
      </c>
      <c r="AW24" s="260">
        <v>-13.922</v>
      </c>
      <c r="AX24" s="27">
        <f>0.4+0.11</f>
        <v>0.51</v>
      </c>
      <c r="AY24" s="70">
        <f>SUM(AS24,AV24:AX24)</f>
        <v>362.341</v>
      </c>
      <c r="AZ24" s="58">
        <v>0</v>
      </c>
      <c r="BA24" s="58">
        <v>0</v>
      </c>
      <c r="BB24" s="58">
        <v>0</v>
      </c>
      <c r="BC24" s="59">
        <f>SUM(AZ24:BB24)</f>
        <v>0</v>
      </c>
      <c r="BD24" s="257">
        <v>0</v>
      </c>
      <c r="BE24" s="157">
        <v>0</v>
      </c>
      <c r="BF24" s="293">
        <v>-12.934</v>
      </c>
      <c r="BG24" s="293">
        <v>0.5</v>
      </c>
      <c r="BH24" s="284">
        <f>SUM(AY24,BE24:BG24)</f>
        <v>349.907</v>
      </c>
      <c r="BI24" s="157">
        <v>0</v>
      </c>
      <c r="BJ24" s="157">
        <v>0</v>
      </c>
      <c r="BK24" s="157">
        <v>0</v>
      </c>
      <c r="BL24" s="259">
        <f>SUM(BI24:BK24)</f>
        <v>0</v>
      </c>
      <c r="BM24" s="257">
        <v>0</v>
      </c>
      <c r="BN24" s="157">
        <v>0</v>
      </c>
      <c r="BO24" s="260">
        <v>-12.44855</v>
      </c>
      <c r="BP24" s="293">
        <v>0.3</v>
      </c>
      <c r="BQ24" s="284">
        <f>SUM(BH24,BN24:BP24)</f>
        <v>337.75845</v>
      </c>
      <c r="BR24" s="157">
        <v>0</v>
      </c>
      <c r="BS24" s="157">
        <v>0</v>
      </c>
      <c r="BT24" s="157">
        <v>0</v>
      </c>
      <c r="BU24" s="259">
        <f>SUM(BR24:BT24)</f>
        <v>0</v>
      </c>
      <c r="BV24" s="159">
        <v>0</v>
      </c>
      <c r="BW24" s="260">
        <v>0</v>
      </c>
      <c r="BX24" s="260">
        <v>-13.096822</v>
      </c>
      <c r="BY24" s="260">
        <v>-5.088573</v>
      </c>
      <c r="BZ24" s="284">
        <f>SUM(BQ24,BW24:BY24)</f>
        <v>319.573055</v>
      </c>
      <c r="CA24" s="260">
        <v>0</v>
      </c>
      <c r="CB24" s="260">
        <v>0</v>
      </c>
      <c r="CC24" s="260">
        <v>0</v>
      </c>
      <c r="CD24" s="162">
        <f>SUM(CA24:CC24)</f>
        <v>0</v>
      </c>
      <c r="CE24" s="257">
        <f>SUM(AQ24,AU24,AV24,AX24,BD24,BE24,BG24,BM24,BN24,BP24,BV24,BW24,BY24)</f>
        <v>488.951427</v>
      </c>
      <c r="CF24" s="157">
        <f>SUM(AR24-AW24-BF24-BO24-BX24)</f>
        <v>169.378372</v>
      </c>
      <c r="CG24" s="157">
        <f>SUM(CE24-CF24)</f>
        <v>319.573055</v>
      </c>
      <c r="CH24" s="160">
        <f>SUM(CD24)</f>
        <v>0</v>
      </c>
      <c r="CI24" s="159">
        <v>0</v>
      </c>
      <c r="CJ24" s="260">
        <v>0</v>
      </c>
      <c r="CK24" s="260">
        <v>-12.744792</v>
      </c>
      <c r="CL24" s="260">
        <v>0</v>
      </c>
      <c r="CM24" s="284">
        <f>SUM(CG24,CJ24,CK24,CL24)</f>
        <v>306.828263</v>
      </c>
      <c r="CN24" s="260">
        <v>0</v>
      </c>
      <c r="CO24" s="260">
        <v>0</v>
      </c>
      <c r="CP24" s="260">
        <v>0.86</v>
      </c>
      <c r="CQ24" s="162">
        <f>SUM(CN24:CP24)</f>
        <v>0.86</v>
      </c>
      <c r="CR24" s="159">
        <v>0</v>
      </c>
      <c r="CS24" s="260">
        <v>0</v>
      </c>
      <c r="CT24" s="260">
        <v>-12.62376</v>
      </c>
      <c r="CU24" s="260">
        <f>0.767-0.503</f>
        <v>0.264</v>
      </c>
      <c r="CV24" s="284">
        <f>SUM(CP24,CS24,CT24,CU24)</f>
        <v>-11.499760000000002</v>
      </c>
      <c r="CW24" s="260">
        <v>0</v>
      </c>
      <c r="CX24" s="260">
        <v>0</v>
      </c>
      <c r="CY24" s="260">
        <v>0</v>
      </c>
      <c r="CZ24" s="162">
        <f>SUM(CW24:CY24)</f>
        <v>0</v>
      </c>
      <c r="DA24" s="159">
        <v>0</v>
      </c>
      <c r="DB24" s="260">
        <v>0</v>
      </c>
      <c r="DC24" s="260">
        <v>-3.816782</v>
      </c>
      <c r="DD24" s="260">
        <f>0.736-0.016</f>
        <v>0.72</v>
      </c>
      <c r="DE24" s="284">
        <f>SUM(CV24,DB24,DC24,DD24)</f>
        <v>-14.596542000000001</v>
      </c>
      <c r="DF24" s="260">
        <v>0</v>
      </c>
      <c r="DG24" s="260">
        <v>0</v>
      </c>
      <c r="DH24" s="260">
        <v>0</v>
      </c>
      <c r="DI24" s="162">
        <f>SUM(CZ24,DF24,DG24,DH24)</f>
        <v>0</v>
      </c>
      <c r="DJ24" s="159">
        <f>SUM(CE24,CI24,CJ24,CN24,CL24,CP24,CR24,CS24,CU24,CW24,CY24,DA24,DB24,DD24,DF24,DH24)</f>
        <v>490.7954270000001</v>
      </c>
      <c r="DK24" s="260">
        <f>SUM(CF24+CI24-CK24-CO24+CR24-CT24-CX24+DA24-DC24-DG24)</f>
        <v>198.563706</v>
      </c>
      <c r="DL24" s="260">
        <f>SUM(DJ24-DK24)</f>
        <v>292.2317210000001</v>
      </c>
      <c r="DM24" s="160">
        <f>SUM(DI24)</f>
        <v>0</v>
      </c>
      <c r="DN24" s="84"/>
      <c r="DO24" s="80"/>
      <c r="DP24" s="80"/>
      <c r="DQ24" s="80"/>
      <c r="DR24" s="80"/>
      <c r="DS24" s="80"/>
      <c r="DT24" s="80"/>
    </row>
    <row r="25" spans="2:124" s="32" customFormat="1" ht="12.75">
      <c r="B25" s="167" t="s">
        <v>10</v>
      </c>
      <c r="C25" s="168" t="s">
        <v>111</v>
      </c>
      <c r="D25" s="169">
        <v>0</v>
      </c>
      <c r="E25" s="170">
        <v>0</v>
      </c>
      <c r="F25" s="170">
        <v>0</v>
      </c>
      <c r="G25" s="170">
        <v>0</v>
      </c>
      <c r="H25" s="171">
        <f t="shared" si="9"/>
        <v>0</v>
      </c>
      <c r="I25" s="169">
        <v>0</v>
      </c>
      <c r="J25" s="170">
        <v>0</v>
      </c>
      <c r="K25" s="170">
        <v>0</v>
      </c>
      <c r="L25" s="170">
        <v>0</v>
      </c>
      <c r="M25" s="175">
        <v>0</v>
      </c>
      <c r="N25" s="175">
        <v>0</v>
      </c>
      <c r="O25" s="178">
        <f t="shared" si="10"/>
        <v>0</v>
      </c>
      <c r="P25" s="179">
        <f>SUM(D25,E25,I25,J25,L25,G25)</f>
        <v>0</v>
      </c>
      <c r="Q25" s="175">
        <f>SUM(D25,I25)+SUM(F25,K25,M25)*-1</f>
        <v>0</v>
      </c>
      <c r="R25" s="328">
        <f>SUM(P25-Q25)</f>
        <v>0</v>
      </c>
      <c r="S25" s="179">
        <v>0</v>
      </c>
      <c r="T25" s="175">
        <v>0</v>
      </c>
      <c r="U25" s="175">
        <v>0</v>
      </c>
      <c r="V25" s="175">
        <v>0</v>
      </c>
      <c r="W25" s="178">
        <f>SUM(R25,T25:V25)</f>
        <v>0</v>
      </c>
      <c r="X25" s="179">
        <v>0</v>
      </c>
      <c r="Y25" s="175">
        <v>0</v>
      </c>
      <c r="Z25" s="175">
        <v>0</v>
      </c>
      <c r="AA25" s="175">
        <v>0</v>
      </c>
      <c r="AB25" s="178">
        <f>SUM(W25,Y25:AA25)</f>
        <v>0</v>
      </c>
      <c r="AC25" s="179">
        <v>0</v>
      </c>
      <c r="AD25" s="175">
        <v>0</v>
      </c>
      <c r="AE25" s="175">
        <v>0</v>
      </c>
      <c r="AF25" s="175">
        <v>0</v>
      </c>
      <c r="AG25" s="177">
        <f>SUM(AB25,AD25:AF25)</f>
        <v>0</v>
      </c>
      <c r="AH25" s="179">
        <v>0</v>
      </c>
      <c r="AI25" s="175">
        <v>0</v>
      </c>
      <c r="AJ25" s="170">
        <v>0</v>
      </c>
      <c r="AK25" s="175">
        <v>0</v>
      </c>
      <c r="AL25" s="177">
        <f>SUM(AG25,AI25:AK25)</f>
        <v>0</v>
      </c>
      <c r="AM25" s="175">
        <v>0</v>
      </c>
      <c r="AN25" s="175">
        <v>0</v>
      </c>
      <c r="AO25" s="175">
        <v>0</v>
      </c>
      <c r="AP25" s="178">
        <f>SUM(AM25:AO25)</f>
        <v>0</v>
      </c>
      <c r="AQ25" s="179">
        <f>SUM(P25,S25,T25,V25,X25,Y25,AA25,AC25,AD25,AF25,AH25,AI25,AK25,AM25,AO25)</f>
        <v>0</v>
      </c>
      <c r="AR25" s="175">
        <f>SUM(Q25)+(S25+X25+AC25+AH25)+SUM((U25+Z25+AE25+AJ25+AN25)*-1)</f>
        <v>0</v>
      </c>
      <c r="AS25" s="175">
        <f>SUM(AQ25-AR25)</f>
        <v>0</v>
      </c>
      <c r="AT25" s="180">
        <f>SUM(AP25)</f>
        <v>0</v>
      </c>
      <c r="AU25" s="179">
        <v>0</v>
      </c>
      <c r="AV25" s="175">
        <v>0</v>
      </c>
      <c r="AW25" s="170">
        <v>0</v>
      </c>
      <c r="AX25" s="170">
        <v>0</v>
      </c>
      <c r="AY25" s="177">
        <f>SUM(AS25,AV25:AX25)</f>
        <v>0</v>
      </c>
      <c r="AZ25" s="175">
        <v>0</v>
      </c>
      <c r="BA25" s="175">
        <v>0</v>
      </c>
      <c r="BB25" s="175">
        <v>0</v>
      </c>
      <c r="BC25" s="178">
        <f>SUM(AZ25:BB25)</f>
        <v>0</v>
      </c>
      <c r="BD25" s="261">
        <v>0</v>
      </c>
      <c r="BE25" s="263">
        <v>0</v>
      </c>
      <c r="BF25" s="294">
        <v>0</v>
      </c>
      <c r="BG25" s="294">
        <v>0</v>
      </c>
      <c r="BH25" s="296">
        <f>SUM(AY25,BE25:BG25)</f>
        <v>0</v>
      </c>
      <c r="BI25" s="263">
        <v>0</v>
      </c>
      <c r="BJ25" s="263">
        <v>0</v>
      </c>
      <c r="BK25" s="263">
        <v>0</v>
      </c>
      <c r="BL25" s="264">
        <f>SUM(BI25:BK25)</f>
        <v>0</v>
      </c>
      <c r="BM25" s="261">
        <v>0</v>
      </c>
      <c r="BN25" s="263">
        <v>0</v>
      </c>
      <c r="BO25" s="262">
        <v>0</v>
      </c>
      <c r="BP25" s="294">
        <v>0</v>
      </c>
      <c r="BQ25" s="296">
        <f>SUM(BH25,BN25:BP25)</f>
        <v>0</v>
      </c>
      <c r="BR25" s="263">
        <v>0</v>
      </c>
      <c r="BS25" s="263">
        <v>0</v>
      </c>
      <c r="BT25" s="263">
        <v>0</v>
      </c>
      <c r="BU25" s="264">
        <f>SUM(BR25:BT25)</f>
        <v>0</v>
      </c>
      <c r="BV25" s="272">
        <v>0</v>
      </c>
      <c r="BW25" s="262">
        <v>0</v>
      </c>
      <c r="BX25" s="262">
        <v>0</v>
      </c>
      <c r="BY25" s="262">
        <v>47</v>
      </c>
      <c r="BZ25" s="296">
        <f>SUM(BQ25,BW25:BY25)</f>
        <v>47</v>
      </c>
      <c r="CA25" s="262">
        <v>0</v>
      </c>
      <c r="CB25" s="262">
        <v>0</v>
      </c>
      <c r="CC25" s="262">
        <v>0</v>
      </c>
      <c r="CD25" s="307">
        <f>SUM(CA25:CC25)</f>
        <v>0</v>
      </c>
      <c r="CE25" s="261">
        <f>SUM(AQ25,AU25,AV25,AX25,BD25,BE25,BG25,BM25,BN25,BP25,BV25,BW25,BY25)</f>
        <v>47</v>
      </c>
      <c r="CF25" s="263">
        <f>SUM(AR25-AW25-BF25-BO25-BX25)</f>
        <v>0</v>
      </c>
      <c r="CG25" s="262">
        <f>SUM(CE25-CF25)</f>
        <v>47</v>
      </c>
      <c r="CH25" s="181">
        <f>SUM(CD25)</f>
        <v>0</v>
      </c>
      <c r="CI25" s="272">
        <v>0</v>
      </c>
      <c r="CJ25" s="262">
        <v>0</v>
      </c>
      <c r="CK25" s="262">
        <v>0</v>
      </c>
      <c r="CL25" s="262">
        <v>0</v>
      </c>
      <c r="CM25" s="296">
        <f>SUM(CG25,CJ25,CK25,CL25)</f>
        <v>47</v>
      </c>
      <c r="CN25" s="262">
        <v>0</v>
      </c>
      <c r="CO25" s="262">
        <v>0</v>
      </c>
      <c r="CP25" s="262">
        <v>0</v>
      </c>
      <c r="CQ25" s="307">
        <f>SUM(CN25:CP25)</f>
        <v>0</v>
      </c>
      <c r="CR25" s="272">
        <v>0</v>
      </c>
      <c r="CS25" s="262">
        <v>0</v>
      </c>
      <c r="CT25" s="262">
        <v>0</v>
      </c>
      <c r="CU25" s="262">
        <v>0</v>
      </c>
      <c r="CV25" s="296">
        <f>SUM(CP25,CS25,CT25,CU25)</f>
        <v>0</v>
      </c>
      <c r="CW25" s="262">
        <v>0</v>
      </c>
      <c r="CX25" s="262">
        <v>0</v>
      </c>
      <c r="CY25" s="262">
        <v>0</v>
      </c>
      <c r="CZ25" s="307">
        <f>SUM(CW25:CY25)</f>
        <v>0</v>
      </c>
      <c r="DA25" s="272">
        <v>0</v>
      </c>
      <c r="DB25" s="262">
        <v>-35</v>
      </c>
      <c r="DC25" s="262">
        <v>0</v>
      </c>
      <c r="DD25" s="262">
        <v>0</v>
      </c>
      <c r="DE25" s="296">
        <f>SUM(CV25,DB25,DC25,DD25)</f>
        <v>-35</v>
      </c>
      <c r="DF25" s="262">
        <v>0</v>
      </c>
      <c r="DG25" s="262">
        <v>0</v>
      </c>
      <c r="DH25" s="262">
        <v>0</v>
      </c>
      <c r="DI25" s="307">
        <f>SUM(CZ25,DF25,DG25,DH25)</f>
        <v>0</v>
      </c>
      <c r="DJ25" s="272">
        <f>SUM(CE25,CI25,CJ25,CN25,CL25,CP25,CR25,CS25,CU25,CW25,CY25,DA25,DB25,DD25,DF25,DH25)</f>
        <v>12</v>
      </c>
      <c r="DK25" s="262">
        <f>SUM(CF25+CI25-CK25-CO25+CR25-CT25-CX25+DA25-DC25-DG25)</f>
        <v>0</v>
      </c>
      <c r="DL25" s="262">
        <f>SUM(DJ25-DK25)</f>
        <v>12</v>
      </c>
      <c r="DM25" s="181">
        <f>SUM(DI25)</f>
        <v>0</v>
      </c>
      <c r="DN25" s="84"/>
      <c r="DO25" s="80"/>
      <c r="DP25" s="80"/>
      <c r="DQ25" s="80"/>
      <c r="DR25" s="80"/>
      <c r="DS25" s="80"/>
      <c r="DT25" s="80"/>
    </row>
    <row r="26" spans="2:124" s="32" customFormat="1" ht="12.75">
      <c r="B26" s="8" t="s">
        <v>10</v>
      </c>
      <c r="C26" s="33" t="s">
        <v>1</v>
      </c>
      <c r="D26" s="29">
        <f>45</f>
        <v>45</v>
      </c>
      <c r="E26" s="27">
        <v>52.1</v>
      </c>
      <c r="F26" s="27">
        <v>-52.1</v>
      </c>
      <c r="G26" s="27">
        <v>0</v>
      </c>
      <c r="H26" s="14">
        <f t="shared" si="9"/>
        <v>0</v>
      </c>
      <c r="I26" s="29">
        <v>0</v>
      </c>
      <c r="J26" s="27">
        <v>34.4</v>
      </c>
      <c r="K26" s="27">
        <v>-4.46</v>
      </c>
      <c r="L26" s="27">
        <v>0</v>
      </c>
      <c r="M26" s="27">
        <v>0</v>
      </c>
      <c r="N26" s="27">
        <v>0</v>
      </c>
      <c r="O26" s="14">
        <f t="shared" si="10"/>
        <v>29.939999999999998</v>
      </c>
      <c r="P26" s="12">
        <f>SUM(D26,E26,I26,J26)</f>
        <v>131.5</v>
      </c>
      <c r="Q26" s="13">
        <f>SUM(D26,I26)+SUM(F26,K26,M26)*-1</f>
        <v>101.56</v>
      </c>
      <c r="R26" s="34">
        <f>SUM(P26-Q26)</f>
        <v>29.939999999999998</v>
      </c>
      <c r="S26" s="57">
        <v>0</v>
      </c>
      <c r="T26" s="58">
        <v>0</v>
      </c>
      <c r="U26" s="27">
        <v>-1.8</v>
      </c>
      <c r="V26" s="58">
        <v>0</v>
      </c>
      <c r="W26" s="59">
        <f>SUM(R26,T26:V26)</f>
        <v>28.139999999999997</v>
      </c>
      <c r="X26" s="57">
        <v>0</v>
      </c>
      <c r="Y26" s="58">
        <v>-13.2</v>
      </c>
      <c r="Z26" s="58">
        <v>-0.4</v>
      </c>
      <c r="AA26" s="58">
        <v>0</v>
      </c>
      <c r="AB26" s="59">
        <f>SUM(W26,Y26:AA26)</f>
        <v>14.539999999999997</v>
      </c>
      <c r="AC26" s="57">
        <v>0</v>
      </c>
      <c r="AD26" s="27">
        <v>59.7</v>
      </c>
      <c r="AE26" s="27">
        <v>-20.5</v>
      </c>
      <c r="AF26" s="58">
        <v>0</v>
      </c>
      <c r="AG26" s="70">
        <f>SUM(AB26,AD26:AF26)</f>
        <v>53.739999999999995</v>
      </c>
      <c r="AH26" s="57">
        <v>0</v>
      </c>
      <c r="AI26" s="58">
        <v>0</v>
      </c>
      <c r="AJ26" s="58">
        <v>-5.83</v>
      </c>
      <c r="AK26" s="58">
        <v>0</v>
      </c>
      <c r="AL26" s="70">
        <f>SUM(AG26,AI26:AK26)</f>
        <v>47.91</v>
      </c>
      <c r="AM26" s="58">
        <v>0</v>
      </c>
      <c r="AN26" s="58">
        <v>0</v>
      </c>
      <c r="AO26" s="58">
        <v>0</v>
      </c>
      <c r="AP26" s="59">
        <f>SUM(AM26:AO26)</f>
        <v>0</v>
      </c>
      <c r="AQ26" s="57">
        <f>SUM(P26,S26,T26,V26,X26,Y26,AA26,AC26,AD26,AF26,AH26,AI26,AK26,AM26,AO26)</f>
        <v>178</v>
      </c>
      <c r="AR26" s="58">
        <f>SUM(Q26)+(S26+X26+AC26+AH26)+SUM((U26+Z26+AE26+AJ26+AN26)*-1)</f>
        <v>130.09</v>
      </c>
      <c r="AS26" s="58">
        <f>SUM(AQ26-AR26)</f>
        <v>47.91</v>
      </c>
      <c r="AT26" s="92">
        <f>SUM(AP26)</f>
        <v>0</v>
      </c>
      <c r="AU26" s="57">
        <v>0</v>
      </c>
      <c r="AV26" s="58">
        <v>-24</v>
      </c>
      <c r="AW26" s="27">
        <v>-8.711</v>
      </c>
      <c r="AX26" s="58">
        <v>-0.063</v>
      </c>
      <c r="AY26" s="70">
        <f>SUM(AS26,AV26:AX26)</f>
        <v>15.135999999999996</v>
      </c>
      <c r="AZ26" s="58">
        <v>0</v>
      </c>
      <c r="BA26" s="58">
        <v>0</v>
      </c>
      <c r="BB26" s="58">
        <v>0</v>
      </c>
      <c r="BC26" s="59">
        <f>SUM(AZ26:BB26)</f>
        <v>0</v>
      </c>
      <c r="BD26" s="257">
        <v>0</v>
      </c>
      <c r="BE26" s="157">
        <v>0</v>
      </c>
      <c r="BF26" s="293">
        <v>-0.697</v>
      </c>
      <c r="BG26" s="157">
        <v>0</v>
      </c>
      <c r="BH26" s="284">
        <f>SUM(AY26,BE26:BG26)</f>
        <v>14.438999999999997</v>
      </c>
      <c r="BI26" s="157">
        <v>0</v>
      </c>
      <c r="BJ26" s="157">
        <v>0</v>
      </c>
      <c r="BK26" s="157">
        <v>0</v>
      </c>
      <c r="BL26" s="259">
        <f>SUM(BI26:BK26)</f>
        <v>0</v>
      </c>
      <c r="BM26" s="257">
        <v>0</v>
      </c>
      <c r="BN26" s="157">
        <v>0</v>
      </c>
      <c r="BO26" s="260">
        <v>3.514632</v>
      </c>
      <c r="BP26" s="157">
        <v>0</v>
      </c>
      <c r="BQ26" s="284">
        <f>SUM(BH26,BN26:BP26)</f>
        <v>17.953631999999995</v>
      </c>
      <c r="BR26" s="157">
        <v>0</v>
      </c>
      <c r="BS26" s="157">
        <v>0</v>
      </c>
      <c r="BT26" s="157">
        <v>0</v>
      </c>
      <c r="BU26" s="259">
        <f>SUM(BR26:BT26)</f>
        <v>0</v>
      </c>
      <c r="BV26" s="159">
        <v>0</v>
      </c>
      <c r="BW26" s="260">
        <v>0</v>
      </c>
      <c r="BX26" s="260">
        <v>-0.727305</v>
      </c>
      <c r="BY26" s="260">
        <v>0</v>
      </c>
      <c r="BZ26" s="284">
        <f>SUM(BQ26,BW26:BY26)</f>
        <v>17.226326999999994</v>
      </c>
      <c r="CA26" s="260">
        <v>0</v>
      </c>
      <c r="CB26" s="260">
        <v>0</v>
      </c>
      <c r="CC26" s="260">
        <v>0</v>
      </c>
      <c r="CD26" s="162">
        <f>SUM(CA26:CC26)</f>
        <v>0</v>
      </c>
      <c r="CE26" s="257">
        <f>SUM(AQ26,AU26,AV26,AX26,BD26,BE26,BG26,BM26,BN26,BP26,BV26,BW26,BY26)</f>
        <v>153.937</v>
      </c>
      <c r="CF26" s="157">
        <f>SUM(AR26-AW26-BF26-BO26-BX26)</f>
        <v>136.710673</v>
      </c>
      <c r="CG26" s="157">
        <f>SUM(CE26-CF26)</f>
        <v>17.226326999999998</v>
      </c>
      <c r="CH26" s="160">
        <f>SUM(CD26)</f>
        <v>0</v>
      </c>
      <c r="CI26" s="159">
        <v>0</v>
      </c>
      <c r="CJ26" s="260">
        <v>0</v>
      </c>
      <c r="CK26" s="260">
        <v>-0.161</v>
      </c>
      <c r="CL26" s="260">
        <v>0</v>
      </c>
      <c r="CM26" s="284">
        <f>SUM(CG26,CJ26,CK26,CL26)</f>
        <v>17.065326999999996</v>
      </c>
      <c r="CN26" s="260">
        <v>0</v>
      </c>
      <c r="CO26" s="260">
        <v>0</v>
      </c>
      <c r="CP26" s="260">
        <v>0</v>
      </c>
      <c r="CQ26" s="162">
        <f>SUM(CN26:CP26)</f>
        <v>0</v>
      </c>
      <c r="CR26" s="159">
        <v>0</v>
      </c>
      <c r="CS26" s="260">
        <v>0</v>
      </c>
      <c r="CT26" s="260">
        <f>0.178-0.486-0.110787</f>
        <v>-0.418787</v>
      </c>
      <c r="CU26" s="260">
        <v>0</v>
      </c>
      <c r="CV26" s="284">
        <f>SUM(CP26,CS26,CT26,CU26)</f>
        <v>-0.418787</v>
      </c>
      <c r="CW26" s="260">
        <v>0</v>
      </c>
      <c r="CX26" s="260">
        <v>0</v>
      </c>
      <c r="CY26" s="260">
        <v>0</v>
      </c>
      <c r="CZ26" s="162">
        <f>SUM(CW26:CY26)</f>
        <v>0</v>
      </c>
      <c r="DA26" s="159">
        <v>0</v>
      </c>
      <c r="DB26" s="260">
        <v>0</v>
      </c>
      <c r="DC26" s="260">
        <v>-1.489318</v>
      </c>
      <c r="DD26" s="260">
        <v>0</v>
      </c>
      <c r="DE26" s="284">
        <f>SUM(CV26,DB26,DC26,DD26)</f>
        <v>-1.908105</v>
      </c>
      <c r="DF26" s="260">
        <v>0</v>
      </c>
      <c r="DG26" s="260">
        <v>0</v>
      </c>
      <c r="DH26" s="260">
        <v>0</v>
      </c>
      <c r="DI26" s="162">
        <f>SUM(CZ26,DF26,DG26,DH26)</f>
        <v>0</v>
      </c>
      <c r="DJ26" s="159">
        <f>SUM(CE26,CI26,CJ26,CN26,CL26,CP26,CR26,CS26,CU26,CW26,CY26,DA26,DB26,DD26,DF26,DH26)</f>
        <v>153.937</v>
      </c>
      <c r="DK26" s="260">
        <f>SUM(CF26+CI26-CK26-CO26+CR26-CT26-CX26+DA26-DC26-DG26)</f>
        <v>138.77977800000002</v>
      </c>
      <c r="DL26" s="260">
        <f>SUM(DJ26-DK26)</f>
        <v>15.15722199999999</v>
      </c>
      <c r="DM26" s="160">
        <f>SUM(DI26)</f>
        <v>0</v>
      </c>
      <c r="DN26" s="84"/>
      <c r="DO26" s="80"/>
      <c r="DP26" s="80"/>
      <c r="DQ26" s="80"/>
      <c r="DR26" s="80"/>
      <c r="DS26" s="80"/>
      <c r="DT26" s="80"/>
    </row>
    <row r="27" spans="2:124" s="32" customFormat="1" ht="12.75">
      <c r="B27" s="167" t="s">
        <v>10</v>
      </c>
      <c r="C27" s="168" t="s">
        <v>8</v>
      </c>
      <c r="D27" s="169">
        <v>0</v>
      </c>
      <c r="E27" s="170">
        <f>495-52.1</f>
        <v>442.9</v>
      </c>
      <c r="F27" s="170">
        <v>-60.8</v>
      </c>
      <c r="G27" s="170">
        <v>0</v>
      </c>
      <c r="H27" s="171">
        <f>SUM(E27:G27)</f>
        <v>382.09999999999997</v>
      </c>
      <c r="I27" s="169">
        <v>0</v>
      </c>
      <c r="J27" s="170">
        <v>133.6</v>
      </c>
      <c r="K27" s="170">
        <v>-449.84</v>
      </c>
      <c r="L27" s="170">
        <v>0</v>
      </c>
      <c r="M27" s="170">
        <v>0</v>
      </c>
      <c r="N27" s="170">
        <v>0</v>
      </c>
      <c r="O27" s="171">
        <f>SUM(H27,J27:N27)</f>
        <v>65.85999999999996</v>
      </c>
      <c r="P27" s="172">
        <f>SUM(D27,E27,I27,J27)</f>
        <v>576.5</v>
      </c>
      <c r="Q27" s="173">
        <f>SUM(D27,I27)+SUM(F27,K27,M27)*-1</f>
        <v>510.64</v>
      </c>
      <c r="R27" s="174">
        <f>SUM(P27-Q27)</f>
        <v>65.86000000000001</v>
      </c>
      <c r="S27" s="179">
        <v>0</v>
      </c>
      <c r="T27" s="175">
        <v>65.1</v>
      </c>
      <c r="U27" s="170">
        <v>-61.6</v>
      </c>
      <c r="V27" s="175">
        <v>0</v>
      </c>
      <c r="W27" s="178">
        <f>SUM(R27,T27:V27)</f>
        <v>69.36000000000001</v>
      </c>
      <c r="X27" s="179">
        <v>0</v>
      </c>
      <c r="Y27" s="175">
        <v>13</v>
      </c>
      <c r="Z27" s="175">
        <v>-41.575</v>
      </c>
      <c r="AA27" s="175">
        <v>0</v>
      </c>
      <c r="AB27" s="178">
        <f>SUM(W27,Y27:AA27)</f>
        <v>40.78500000000001</v>
      </c>
      <c r="AC27" s="179">
        <v>0</v>
      </c>
      <c r="AD27" s="170">
        <f>285.7+29+48</f>
        <v>362.7</v>
      </c>
      <c r="AE27" s="170">
        <f>-117.1+36.186</f>
        <v>-80.91399999999999</v>
      </c>
      <c r="AF27" s="175">
        <v>0</v>
      </c>
      <c r="AG27" s="177">
        <f>SUM(AB27,AD27:AF27)</f>
        <v>322.571</v>
      </c>
      <c r="AH27" s="179">
        <v>0</v>
      </c>
      <c r="AI27" s="175">
        <v>312.951</v>
      </c>
      <c r="AJ27" s="170">
        <f>-148.227+0.01+0.064+0.064</f>
        <v>-148.08900000000003</v>
      </c>
      <c r="AK27" s="175">
        <v>0</v>
      </c>
      <c r="AL27" s="177">
        <f>SUM(AG27,AI27:AK27)</f>
        <v>487.433</v>
      </c>
      <c r="AM27" s="175">
        <v>0</v>
      </c>
      <c r="AN27" s="175">
        <v>0</v>
      </c>
      <c r="AO27" s="175">
        <v>0</v>
      </c>
      <c r="AP27" s="178">
        <f>SUM(AM27:AO27)</f>
        <v>0</v>
      </c>
      <c r="AQ27" s="179">
        <f>SUM(P27,S27,T27,V27,X27,Y27,AA27,AC27,AD27,AF27,AH27,AI27,AK27,AM27,AO27)</f>
        <v>1330.251</v>
      </c>
      <c r="AR27" s="175">
        <f>SUM(Q27)+(S27+X27+AC27+AH27)+SUM((U27+Z27+AE27+AJ27+AN27)*-1)</f>
        <v>842.818</v>
      </c>
      <c r="AS27" s="175">
        <f>SUM(AQ27-AR27)</f>
        <v>487.433</v>
      </c>
      <c r="AT27" s="180">
        <f>SUM(AP27)</f>
        <v>0</v>
      </c>
      <c r="AU27" s="179">
        <v>0</v>
      </c>
      <c r="AV27" s="175">
        <v>24</v>
      </c>
      <c r="AW27" s="262">
        <v>-90.125</v>
      </c>
      <c r="AX27" s="175">
        <v>0.113</v>
      </c>
      <c r="AY27" s="177">
        <f>SUM(AS27,AV27:AX27)</f>
        <v>421.421</v>
      </c>
      <c r="AZ27" s="175">
        <v>0</v>
      </c>
      <c r="BA27" s="175">
        <v>0</v>
      </c>
      <c r="BB27" s="175">
        <v>0</v>
      </c>
      <c r="BC27" s="178">
        <f>SUM(AZ27:BB27)</f>
        <v>0</v>
      </c>
      <c r="BD27" s="261">
        <v>0</v>
      </c>
      <c r="BE27" s="263">
        <v>0</v>
      </c>
      <c r="BF27" s="294">
        <f>-65.308-0.065</f>
        <v>-65.373</v>
      </c>
      <c r="BG27" s="263">
        <v>0</v>
      </c>
      <c r="BH27" s="296">
        <f>SUM(AY27,BE27:BG27)</f>
        <v>356.048</v>
      </c>
      <c r="BI27" s="263">
        <v>0</v>
      </c>
      <c r="BJ27" s="263">
        <v>0</v>
      </c>
      <c r="BK27" s="263">
        <v>0</v>
      </c>
      <c r="BL27" s="264">
        <f>SUM(BI27:BK27)</f>
        <v>0</v>
      </c>
      <c r="BM27" s="261">
        <v>0</v>
      </c>
      <c r="BN27" s="263">
        <v>0</v>
      </c>
      <c r="BO27" s="262">
        <v>-44.563661</v>
      </c>
      <c r="BP27" s="263">
        <v>0</v>
      </c>
      <c r="BQ27" s="296">
        <f>SUM(BH27,BN27:BP27)</f>
        <v>311.484339</v>
      </c>
      <c r="BR27" s="263">
        <v>0</v>
      </c>
      <c r="BS27" s="263">
        <v>0</v>
      </c>
      <c r="BT27" s="263">
        <v>0</v>
      </c>
      <c r="BU27" s="264">
        <f>SUM(BR27:BT27)</f>
        <v>0</v>
      </c>
      <c r="BV27" s="272">
        <v>0</v>
      </c>
      <c r="BW27" s="262">
        <v>0</v>
      </c>
      <c r="BX27" s="262">
        <v>-46.633504</v>
      </c>
      <c r="BY27" s="262">
        <v>0</v>
      </c>
      <c r="BZ27" s="296">
        <f>SUM(BQ27,BW27:BY27)</f>
        <v>264.85083499999996</v>
      </c>
      <c r="CA27" s="262">
        <v>0</v>
      </c>
      <c r="CB27" s="262">
        <v>0</v>
      </c>
      <c r="CC27" s="262">
        <v>0</v>
      </c>
      <c r="CD27" s="307">
        <f>SUM(CA27:CC27)</f>
        <v>0</v>
      </c>
      <c r="CE27" s="261">
        <f>SUM(AQ27,AU27,AV27,AX27,BD27,BE27,BG27,BM27,BN27,BP27,BV27,BW27,BY27)</f>
        <v>1354.364</v>
      </c>
      <c r="CF27" s="263">
        <f>SUM(AR27-AW27-BF27-BO27-BX27)</f>
        <v>1089.5131649999998</v>
      </c>
      <c r="CG27" s="263">
        <f>SUM(CE27-CF27)</f>
        <v>264.8508350000002</v>
      </c>
      <c r="CH27" s="181">
        <f>SUM(CD27)</f>
        <v>0</v>
      </c>
      <c r="CI27" s="272">
        <v>0</v>
      </c>
      <c r="CJ27" s="262">
        <v>0</v>
      </c>
      <c r="CK27" s="262">
        <v>-18.266735</v>
      </c>
      <c r="CL27" s="262">
        <v>0</v>
      </c>
      <c r="CM27" s="296">
        <f>SUM(CG27,CJ27,CK27,CL27)</f>
        <v>246.58410000000018</v>
      </c>
      <c r="CN27" s="262">
        <v>0</v>
      </c>
      <c r="CO27" s="262">
        <v>0</v>
      </c>
      <c r="CP27" s="262">
        <v>0</v>
      </c>
      <c r="CQ27" s="307">
        <f>SUM(CN27:CP27)</f>
        <v>0</v>
      </c>
      <c r="CR27" s="272">
        <v>0</v>
      </c>
      <c r="CS27" s="262">
        <v>0</v>
      </c>
      <c r="CT27" s="262">
        <v>-17.5966</v>
      </c>
      <c r="CU27" s="262">
        <v>0</v>
      </c>
      <c r="CV27" s="296">
        <f>SUM(CP27,CS27,CT27,CU27)</f>
        <v>-17.5966</v>
      </c>
      <c r="CW27" s="262">
        <v>0</v>
      </c>
      <c r="CX27" s="262">
        <v>0</v>
      </c>
      <c r="CY27" s="262">
        <v>0</v>
      </c>
      <c r="CZ27" s="307">
        <f>SUM(CW27:CY27)</f>
        <v>0</v>
      </c>
      <c r="DA27" s="272">
        <v>0</v>
      </c>
      <c r="DB27" s="262">
        <f>35+190</f>
        <v>225</v>
      </c>
      <c r="DC27" s="262">
        <v>-23.0155</v>
      </c>
      <c r="DD27" s="262">
        <v>0</v>
      </c>
      <c r="DE27" s="296">
        <f>SUM(CV27,DB27,DC27,DD27)</f>
        <v>184.3879</v>
      </c>
      <c r="DF27" s="262">
        <v>0</v>
      </c>
      <c r="DG27" s="262">
        <v>0</v>
      </c>
      <c r="DH27" s="262">
        <v>0</v>
      </c>
      <c r="DI27" s="307">
        <f>SUM(CZ27,DF27,DG27,DH27)</f>
        <v>0</v>
      </c>
      <c r="DJ27" s="272">
        <f>SUM(CE27,CI27,CJ27,CN27,CL27,CP27,CR27,CS27,CU27,CW27,CY27,DA27,DB27,DD27,DF27,DH27)</f>
        <v>1579.364</v>
      </c>
      <c r="DK27" s="262">
        <f>SUM(CF27+CI27-CK27-CO27+CR27-CT27-CX27+DA27-DC27-DG27)</f>
        <v>1148.3919999999998</v>
      </c>
      <c r="DL27" s="262">
        <f>SUM(DJ27-DK27)</f>
        <v>430.9720000000002</v>
      </c>
      <c r="DM27" s="181">
        <f>SUM(DI27)</f>
        <v>0</v>
      </c>
      <c r="DN27" s="84"/>
      <c r="DO27" s="80"/>
      <c r="DP27" s="80"/>
      <c r="DQ27" s="80"/>
      <c r="DR27" s="80"/>
      <c r="DS27" s="80"/>
      <c r="DT27" s="80"/>
    </row>
    <row r="28" spans="2:124" s="32" customFormat="1" ht="12.75">
      <c r="B28" s="167" t="s">
        <v>10</v>
      </c>
      <c r="C28" s="168" t="s">
        <v>51</v>
      </c>
      <c r="D28" s="169">
        <v>0</v>
      </c>
      <c r="E28" s="170">
        <v>0</v>
      </c>
      <c r="F28" s="170">
        <v>0</v>
      </c>
      <c r="G28" s="170">
        <v>0</v>
      </c>
      <c r="H28" s="171">
        <f t="shared" si="9"/>
        <v>0</v>
      </c>
      <c r="I28" s="169">
        <v>0</v>
      </c>
      <c r="J28" s="170">
        <v>1000</v>
      </c>
      <c r="K28" s="170">
        <v>0</v>
      </c>
      <c r="L28" s="170">
        <v>0</v>
      </c>
      <c r="M28" s="170">
        <v>0</v>
      </c>
      <c r="N28" s="170">
        <v>0</v>
      </c>
      <c r="O28" s="171">
        <f t="shared" si="10"/>
        <v>1000</v>
      </c>
      <c r="P28" s="172">
        <f>SUM(D28,E28,I28,J28)</f>
        <v>1000</v>
      </c>
      <c r="Q28" s="173">
        <f>SUM(D28,I28)+SUM(F28,K28,M28)*-1</f>
        <v>0</v>
      </c>
      <c r="R28" s="174">
        <f>SUM(P28-Q28)</f>
        <v>1000</v>
      </c>
      <c r="S28" s="179">
        <v>0</v>
      </c>
      <c r="T28" s="175">
        <v>0</v>
      </c>
      <c r="U28" s="170">
        <v>0</v>
      </c>
      <c r="V28" s="175">
        <v>0</v>
      </c>
      <c r="W28" s="178">
        <f>SUM(R28,T28:V28)</f>
        <v>1000</v>
      </c>
      <c r="X28" s="179">
        <v>0</v>
      </c>
      <c r="Y28" s="175">
        <v>0</v>
      </c>
      <c r="Z28" s="175">
        <v>0</v>
      </c>
      <c r="AA28" s="175">
        <v>0</v>
      </c>
      <c r="AB28" s="178">
        <f>SUM(W28,Y28:AA28)</f>
        <v>1000</v>
      </c>
      <c r="AC28" s="179">
        <v>0</v>
      </c>
      <c r="AD28" s="170">
        <v>0</v>
      </c>
      <c r="AE28" s="170">
        <v>-36.186</v>
      </c>
      <c r="AF28" s="175">
        <v>0</v>
      </c>
      <c r="AG28" s="177">
        <f>SUM(AB28,AD28:AF28)</f>
        <v>963.814</v>
      </c>
      <c r="AH28" s="179">
        <v>0</v>
      </c>
      <c r="AI28" s="175">
        <v>0</v>
      </c>
      <c r="AJ28" s="170">
        <v>-12.981</v>
      </c>
      <c r="AK28" s="175">
        <v>0</v>
      </c>
      <c r="AL28" s="177">
        <f>SUM(AG28,AI28:AK28)</f>
        <v>950.833</v>
      </c>
      <c r="AM28" s="175">
        <v>0</v>
      </c>
      <c r="AN28" s="175">
        <v>0</v>
      </c>
      <c r="AO28" s="175">
        <v>0</v>
      </c>
      <c r="AP28" s="178">
        <f>SUM(AM28:AO28)</f>
        <v>0</v>
      </c>
      <c r="AQ28" s="179">
        <f>SUM(P28,S28,T28,V28,X28,Y28,AA28,AC28,AD28,AF28,AH28,AI28,AK28,AM28,AO28)</f>
        <v>1000</v>
      </c>
      <c r="AR28" s="175">
        <f>SUM(Q28)+(S28+X28+AC28+AH28)+SUM((U28+Z28+AE28+AJ28+AN28)*-1)</f>
        <v>49.167</v>
      </c>
      <c r="AS28" s="175">
        <f>SUM(AQ28-AR28)</f>
        <v>950.833</v>
      </c>
      <c r="AT28" s="180">
        <f>SUM(AP28)</f>
        <v>0</v>
      </c>
      <c r="AU28" s="179">
        <v>0</v>
      </c>
      <c r="AV28" s="175">
        <v>0</v>
      </c>
      <c r="AW28" s="262">
        <v>-8.741</v>
      </c>
      <c r="AX28" s="175">
        <v>0</v>
      </c>
      <c r="AY28" s="177">
        <f>SUM(AS28,AV28:AX28)</f>
        <v>942.092</v>
      </c>
      <c r="AZ28" s="175">
        <v>0</v>
      </c>
      <c r="BA28" s="175">
        <v>0</v>
      </c>
      <c r="BB28" s="175">
        <v>0</v>
      </c>
      <c r="BC28" s="178">
        <f>SUM(AZ28:BB28)</f>
        <v>0</v>
      </c>
      <c r="BD28" s="261">
        <v>0</v>
      </c>
      <c r="BE28" s="263">
        <v>0</v>
      </c>
      <c r="BF28" s="294">
        <v>0</v>
      </c>
      <c r="BG28" s="263">
        <v>0</v>
      </c>
      <c r="BH28" s="296">
        <f>SUM(AY28,BE28:BG28)</f>
        <v>942.092</v>
      </c>
      <c r="BI28" s="263">
        <v>0</v>
      </c>
      <c r="BJ28" s="263">
        <v>0</v>
      </c>
      <c r="BK28" s="263">
        <v>0</v>
      </c>
      <c r="BL28" s="264">
        <f>SUM(BI28:BK28)</f>
        <v>0</v>
      </c>
      <c r="BM28" s="261">
        <v>0</v>
      </c>
      <c r="BN28" s="263">
        <v>0</v>
      </c>
      <c r="BO28" s="262">
        <v>8E-06</v>
      </c>
      <c r="BP28" s="263">
        <v>0</v>
      </c>
      <c r="BQ28" s="296">
        <f>SUM(BH28,BN28:BP28)</f>
        <v>942.092008</v>
      </c>
      <c r="BR28" s="263">
        <v>0</v>
      </c>
      <c r="BS28" s="263">
        <v>0</v>
      </c>
      <c r="BT28" s="263">
        <v>0</v>
      </c>
      <c r="BU28" s="264">
        <f>SUM(BR28:BT28)</f>
        <v>0</v>
      </c>
      <c r="BV28" s="272">
        <v>0</v>
      </c>
      <c r="BW28" s="262">
        <v>0</v>
      </c>
      <c r="BX28" s="262">
        <v>0</v>
      </c>
      <c r="BY28" s="262">
        <v>0</v>
      </c>
      <c r="BZ28" s="296">
        <f>SUM(BQ28,BW28:BY28)</f>
        <v>942.092008</v>
      </c>
      <c r="CA28" s="262">
        <v>0</v>
      </c>
      <c r="CB28" s="262">
        <v>0</v>
      </c>
      <c r="CC28" s="262">
        <v>0</v>
      </c>
      <c r="CD28" s="307">
        <f>SUM(CA28:CC28)</f>
        <v>0</v>
      </c>
      <c r="CE28" s="261">
        <f>SUM(AQ28,AU28,AV28,AX28,BD28,BE28,BG28,BM28,BN28,BP28,BV28,BW28,BY28)</f>
        <v>1000</v>
      </c>
      <c r="CF28" s="263">
        <f>SUM(AR28-AW28-BF28-BO28-BX28)</f>
        <v>57.907992</v>
      </c>
      <c r="CG28" s="263">
        <f>SUM(CE28-CF28)</f>
        <v>942.092008</v>
      </c>
      <c r="CH28" s="181">
        <f>SUM(CD28)</f>
        <v>0</v>
      </c>
      <c r="CI28" s="272">
        <v>0</v>
      </c>
      <c r="CJ28" s="262">
        <v>0</v>
      </c>
      <c r="CK28" s="262">
        <v>-5.7095</v>
      </c>
      <c r="CL28" s="262">
        <v>0</v>
      </c>
      <c r="CM28" s="296">
        <f>SUM(CG28,CJ28,CK28,CL28)</f>
        <v>936.3825079999999</v>
      </c>
      <c r="CN28" s="262">
        <v>0</v>
      </c>
      <c r="CO28" s="262">
        <v>0</v>
      </c>
      <c r="CP28" s="262">
        <v>0</v>
      </c>
      <c r="CQ28" s="307">
        <f>SUM(CN28:CP28)</f>
        <v>0</v>
      </c>
      <c r="CR28" s="272">
        <v>0</v>
      </c>
      <c r="CS28" s="262">
        <v>0</v>
      </c>
      <c r="CT28" s="262">
        <v>0</v>
      </c>
      <c r="CU28" s="262">
        <v>0</v>
      </c>
      <c r="CV28" s="296">
        <f>SUM(CP28,CS28,CT28,CU28)</f>
        <v>0</v>
      </c>
      <c r="CW28" s="262">
        <v>0</v>
      </c>
      <c r="CX28" s="262">
        <v>0</v>
      </c>
      <c r="CY28" s="262">
        <v>0</v>
      </c>
      <c r="CZ28" s="307">
        <f>SUM(CW28:CY28)</f>
        <v>0</v>
      </c>
      <c r="DA28" s="272">
        <v>0</v>
      </c>
      <c r="DB28" s="262">
        <v>0</v>
      </c>
      <c r="DC28" s="262">
        <v>-2.35</v>
      </c>
      <c r="DD28" s="262">
        <v>0</v>
      </c>
      <c r="DE28" s="296">
        <f>SUM(CV28,DB28,DC28,DD28)</f>
        <v>-2.35</v>
      </c>
      <c r="DF28" s="262">
        <v>0</v>
      </c>
      <c r="DG28" s="262">
        <v>0</v>
      </c>
      <c r="DH28" s="262">
        <v>0</v>
      </c>
      <c r="DI28" s="307">
        <f>SUM(CZ28,DF28,DG28,DH28)</f>
        <v>0</v>
      </c>
      <c r="DJ28" s="272">
        <f>SUM(CE28,CI28,CJ28,CN28,CL28,CP28,CR28,CS28,CU28,CW28,CY28,DA28,DB28,DD28,DF28,DH28)</f>
        <v>1000</v>
      </c>
      <c r="DK28" s="262">
        <f>SUM(CF28+CI28-CK28-CO28+CR28-CT28-CX28+DA28-DC28-DG28)</f>
        <v>65.967492</v>
      </c>
      <c r="DL28" s="262">
        <f>SUM(DJ28-DK28)</f>
        <v>934.032508</v>
      </c>
      <c r="DM28" s="181">
        <f>SUM(DI28)</f>
        <v>0</v>
      </c>
      <c r="DN28" s="84"/>
      <c r="DO28" s="80"/>
      <c r="DP28" s="80"/>
      <c r="DQ28" s="80"/>
      <c r="DR28" s="80"/>
      <c r="DS28" s="80"/>
      <c r="DT28" s="80"/>
    </row>
    <row r="29" spans="2:124" s="31" customFormat="1" ht="12.75">
      <c r="B29" s="109" t="s">
        <v>26</v>
      </c>
      <c r="C29" s="110"/>
      <c r="D29" s="111">
        <f aca="true" t="shared" si="44" ref="D29:AI29">SUM(D24:D28)</f>
        <v>70</v>
      </c>
      <c r="E29" s="112">
        <f t="shared" si="44"/>
        <v>929</v>
      </c>
      <c r="F29" s="112">
        <f t="shared" si="44"/>
        <v>-127.89999999999999</v>
      </c>
      <c r="G29" s="112">
        <f t="shared" si="44"/>
        <v>7.95</v>
      </c>
      <c r="H29" s="113">
        <f t="shared" si="44"/>
        <v>809.05</v>
      </c>
      <c r="I29" s="111">
        <f t="shared" si="44"/>
        <v>0</v>
      </c>
      <c r="J29" s="112">
        <f t="shared" si="44"/>
        <v>1168.04</v>
      </c>
      <c r="K29" s="112">
        <f t="shared" si="44"/>
        <v>-484.29999999999995</v>
      </c>
      <c r="L29" s="112">
        <f t="shared" si="44"/>
        <v>24.06</v>
      </c>
      <c r="M29" s="112">
        <f t="shared" si="44"/>
        <v>0</v>
      </c>
      <c r="N29" s="112">
        <f t="shared" si="44"/>
        <v>0</v>
      </c>
      <c r="O29" s="113">
        <f t="shared" si="44"/>
        <v>1516.85</v>
      </c>
      <c r="P29" s="111">
        <f t="shared" si="44"/>
        <v>2199.05</v>
      </c>
      <c r="Q29" s="112">
        <f t="shared" si="44"/>
        <v>682.2</v>
      </c>
      <c r="R29" s="113">
        <f t="shared" si="44"/>
        <v>1516.85</v>
      </c>
      <c r="S29" s="114">
        <f t="shared" si="44"/>
        <v>0</v>
      </c>
      <c r="T29" s="115">
        <f t="shared" si="44"/>
        <v>65.1</v>
      </c>
      <c r="U29" s="115">
        <f t="shared" si="44"/>
        <v>-72.94</v>
      </c>
      <c r="V29" s="115">
        <f t="shared" si="44"/>
        <v>0.38</v>
      </c>
      <c r="W29" s="116">
        <f t="shared" si="44"/>
        <v>1509.3899999999999</v>
      </c>
      <c r="X29" s="114">
        <f t="shared" si="44"/>
        <v>0</v>
      </c>
      <c r="Y29" s="115">
        <f t="shared" si="44"/>
        <v>-0.1999999999999993</v>
      </c>
      <c r="Z29" s="115">
        <f t="shared" si="44"/>
        <v>-56.775000000000006</v>
      </c>
      <c r="AA29" s="115">
        <f t="shared" si="44"/>
        <v>0.48</v>
      </c>
      <c r="AB29" s="116">
        <f t="shared" si="44"/>
        <v>1452.895</v>
      </c>
      <c r="AC29" s="114">
        <f t="shared" si="44"/>
        <v>0</v>
      </c>
      <c r="AD29" s="112">
        <f t="shared" si="44"/>
        <v>422.4</v>
      </c>
      <c r="AE29" s="112">
        <f t="shared" si="44"/>
        <v>-148.292</v>
      </c>
      <c r="AF29" s="115">
        <f t="shared" si="44"/>
        <v>0.37</v>
      </c>
      <c r="AG29" s="115">
        <f t="shared" si="44"/>
        <v>1727.373</v>
      </c>
      <c r="AH29" s="114">
        <f t="shared" si="44"/>
        <v>0</v>
      </c>
      <c r="AI29" s="112">
        <f t="shared" si="44"/>
        <v>312.951</v>
      </c>
      <c r="AJ29" s="112">
        <f aca="true" t="shared" si="45" ref="AJ29:BO29">SUM(AJ24:AJ28)</f>
        <v>-178.84500000000003</v>
      </c>
      <c r="AK29" s="115">
        <f t="shared" si="45"/>
        <v>0.45</v>
      </c>
      <c r="AL29" s="115">
        <f t="shared" si="45"/>
        <v>1861.929</v>
      </c>
      <c r="AM29" s="115">
        <f t="shared" si="45"/>
        <v>0</v>
      </c>
      <c r="AN29" s="115">
        <f t="shared" si="45"/>
        <v>0</v>
      </c>
      <c r="AO29" s="115">
        <f t="shared" si="45"/>
        <v>0</v>
      </c>
      <c r="AP29" s="116">
        <f t="shared" si="45"/>
        <v>0</v>
      </c>
      <c r="AQ29" s="114">
        <f t="shared" si="45"/>
        <v>3000.9809999999998</v>
      </c>
      <c r="AR29" s="115">
        <f t="shared" si="45"/>
        <v>1139.052</v>
      </c>
      <c r="AS29" s="115">
        <f t="shared" si="45"/>
        <v>1861.929</v>
      </c>
      <c r="AT29" s="113">
        <f t="shared" si="45"/>
        <v>0</v>
      </c>
      <c r="AU29" s="114">
        <f t="shared" si="45"/>
        <v>0</v>
      </c>
      <c r="AV29" s="112">
        <f t="shared" si="45"/>
        <v>0</v>
      </c>
      <c r="AW29" s="112">
        <f t="shared" si="45"/>
        <v>-121.49900000000001</v>
      </c>
      <c r="AX29" s="115">
        <f t="shared" si="45"/>
        <v>0.56</v>
      </c>
      <c r="AY29" s="115">
        <f t="shared" si="45"/>
        <v>1740.9899999999998</v>
      </c>
      <c r="AZ29" s="115">
        <f t="shared" si="45"/>
        <v>0</v>
      </c>
      <c r="BA29" s="115">
        <f t="shared" si="45"/>
        <v>0</v>
      </c>
      <c r="BB29" s="115">
        <f t="shared" si="45"/>
        <v>0</v>
      </c>
      <c r="BC29" s="116">
        <f t="shared" si="45"/>
        <v>0</v>
      </c>
      <c r="BD29" s="265">
        <f t="shared" si="45"/>
        <v>0</v>
      </c>
      <c r="BE29" s="266">
        <f t="shared" si="45"/>
        <v>0</v>
      </c>
      <c r="BF29" s="266">
        <f t="shared" si="45"/>
        <v>-79.004</v>
      </c>
      <c r="BG29" s="267">
        <f t="shared" si="45"/>
        <v>0.5</v>
      </c>
      <c r="BH29" s="266">
        <f t="shared" si="45"/>
        <v>1662.4859999999999</v>
      </c>
      <c r="BI29" s="267">
        <f t="shared" si="45"/>
        <v>0</v>
      </c>
      <c r="BJ29" s="267">
        <f t="shared" si="45"/>
        <v>0</v>
      </c>
      <c r="BK29" s="267">
        <f t="shared" si="45"/>
        <v>0</v>
      </c>
      <c r="BL29" s="158">
        <f t="shared" si="45"/>
        <v>0</v>
      </c>
      <c r="BM29" s="265">
        <f t="shared" si="45"/>
        <v>0</v>
      </c>
      <c r="BN29" s="266">
        <f t="shared" si="45"/>
        <v>0</v>
      </c>
      <c r="BO29" s="266">
        <f t="shared" si="45"/>
        <v>-53.497571</v>
      </c>
      <c r="BP29" s="267">
        <f aca="true" t="shared" si="46" ref="BP29:CH29">SUM(BP24:BP28)</f>
        <v>0.3</v>
      </c>
      <c r="BQ29" s="266">
        <f t="shared" si="46"/>
        <v>1609.2884289999997</v>
      </c>
      <c r="BR29" s="267">
        <f t="shared" si="46"/>
        <v>0</v>
      </c>
      <c r="BS29" s="267">
        <f t="shared" si="46"/>
        <v>0</v>
      </c>
      <c r="BT29" s="267">
        <f t="shared" si="46"/>
        <v>0</v>
      </c>
      <c r="BU29" s="158">
        <f t="shared" si="46"/>
        <v>0</v>
      </c>
      <c r="BV29" s="265">
        <f t="shared" si="46"/>
        <v>0</v>
      </c>
      <c r="BW29" s="266">
        <f t="shared" si="46"/>
        <v>0</v>
      </c>
      <c r="BX29" s="266">
        <f t="shared" si="46"/>
        <v>-60.457631</v>
      </c>
      <c r="BY29" s="267">
        <f t="shared" si="46"/>
        <v>41.911427</v>
      </c>
      <c r="BZ29" s="266">
        <f t="shared" si="46"/>
        <v>1590.742225</v>
      </c>
      <c r="CA29" s="267">
        <f t="shared" si="46"/>
        <v>0</v>
      </c>
      <c r="CB29" s="267">
        <f t="shared" si="46"/>
        <v>0</v>
      </c>
      <c r="CC29" s="267">
        <f t="shared" si="46"/>
        <v>0</v>
      </c>
      <c r="CD29" s="158">
        <f t="shared" si="46"/>
        <v>0</v>
      </c>
      <c r="CE29" s="265">
        <f t="shared" si="46"/>
        <v>3044.252427</v>
      </c>
      <c r="CF29" s="267">
        <f t="shared" si="46"/>
        <v>1453.510202</v>
      </c>
      <c r="CG29" s="267">
        <f t="shared" si="46"/>
        <v>1590.7422250000002</v>
      </c>
      <c r="CH29" s="316">
        <f t="shared" si="46"/>
        <v>0</v>
      </c>
      <c r="CI29" s="265">
        <f aca="true" t="shared" si="47" ref="CI29:CQ29">SUM(CI24:CI28)</f>
        <v>0</v>
      </c>
      <c r="CJ29" s="266">
        <f t="shared" si="47"/>
        <v>0</v>
      </c>
      <c r="CK29" s="266">
        <f t="shared" si="47"/>
        <v>-36.882027</v>
      </c>
      <c r="CL29" s="267">
        <f t="shared" si="47"/>
        <v>0</v>
      </c>
      <c r="CM29" s="266">
        <f t="shared" si="47"/>
        <v>1553.860198</v>
      </c>
      <c r="CN29" s="267">
        <f t="shared" si="47"/>
        <v>0</v>
      </c>
      <c r="CO29" s="267">
        <f t="shared" si="47"/>
        <v>0</v>
      </c>
      <c r="CP29" s="267">
        <f t="shared" si="47"/>
        <v>0.86</v>
      </c>
      <c r="CQ29" s="158">
        <f t="shared" si="47"/>
        <v>0.86</v>
      </c>
      <c r="CR29" s="265">
        <f aca="true" t="shared" si="48" ref="CR29:CZ29">SUM(CR24:CR28)</f>
        <v>0</v>
      </c>
      <c r="CS29" s="266">
        <f t="shared" si="48"/>
        <v>0</v>
      </c>
      <c r="CT29" s="266">
        <f t="shared" si="48"/>
        <v>-30.639147</v>
      </c>
      <c r="CU29" s="267">
        <f t="shared" si="48"/>
        <v>0.264</v>
      </c>
      <c r="CV29" s="266">
        <f t="shared" si="48"/>
        <v>-29.515147</v>
      </c>
      <c r="CW29" s="267">
        <f t="shared" si="48"/>
        <v>0</v>
      </c>
      <c r="CX29" s="267">
        <f t="shared" si="48"/>
        <v>0</v>
      </c>
      <c r="CY29" s="267">
        <f t="shared" si="48"/>
        <v>0</v>
      </c>
      <c r="CZ29" s="158">
        <f t="shared" si="48"/>
        <v>0</v>
      </c>
      <c r="DA29" s="382">
        <f aca="true" t="shared" si="49" ref="DA29:DI29">SUM(DA24:DA28)</f>
        <v>0</v>
      </c>
      <c r="DB29" s="266">
        <f t="shared" si="49"/>
        <v>190</v>
      </c>
      <c r="DC29" s="266">
        <f t="shared" si="49"/>
        <v>-30.6716</v>
      </c>
      <c r="DD29" s="383">
        <f t="shared" si="49"/>
        <v>0.72</v>
      </c>
      <c r="DE29" s="266">
        <f t="shared" si="49"/>
        <v>130.533253</v>
      </c>
      <c r="DF29" s="383">
        <f t="shared" si="49"/>
        <v>0</v>
      </c>
      <c r="DG29" s="383">
        <f t="shared" si="49"/>
        <v>0</v>
      </c>
      <c r="DH29" s="383">
        <f t="shared" si="49"/>
        <v>0</v>
      </c>
      <c r="DI29" s="384">
        <f t="shared" si="49"/>
        <v>0</v>
      </c>
      <c r="DJ29" s="275">
        <f>SUM(DJ24:DJ28)</f>
        <v>3236.0964270000004</v>
      </c>
      <c r="DK29" s="266">
        <f>SUM(DK24:DK28)</f>
        <v>1551.7029759999998</v>
      </c>
      <c r="DL29" s="266">
        <f>SUM(DL24:DL28)</f>
        <v>1684.3934510000004</v>
      </c>
      <c r="DM29" s="316">
        <f>SUM(DM24:DM28)</f>
        <v>0</v>
      </c>
      <c r="DN29" s="84"/>
      <c r="DO29" s="30"/>
      <c r="DP29" s="30"/>
      <c r="DQ29" s="30"/>
      <c r="DR29" s="30"/>
      <c r="DS29" s="30"/>
      <c r="DT29" s="30"/>
    </row>
    <row r="30" spans="2:124" s="32" customFormat="1" ht="4.5" customHeight="1">
      <c r="B30" s="8"/>
      <c r="C30" s="33"/>
      <c r="D30" s="29"/>
      <c r="E30" s="27"/>
      <c r="F30" s="27"/>
      <c r="G30" s="27"/>
      <c r="H30" s="14"/>
      <c r="I30" s="29"/>
      <c r="J30" s="27"/>
      <c r="K30" s="27"/>
      <c r="L30" s="27"/>
      <c r="M30" s="27"/>
      <c r="N30" s="27"/>
      <c r="O30" s="14"/>
      <c r="P30" s="12"/>
      <c r="Q30" s="13"/>
      <c r="R30" s="34"/>
      <c r="S30" s="54"/>
      <c r="T30" s="55"/>
      <c r="U30" s="55"/>
      <c r="V30" s="55"/>
      <c r="W30" s="56"/>
      <c r="X30" s="54"/>
      <c r="Y30" s="55"/>
      <c r="Z30" s="55"/>
      <c r="AA30" s="55"/>
      <c r="AB30" s="56"/>
      <c r="AC30" s="54"/>
      <c r="AD30" s="55"/>
      <c r="AE30" s="55"/>
      <c r="AF30" s="55"/>
      <c r="AG30" s="93"/>
      <c r="AH30" s="94"/>
      <c r="AI30" s="93"/>
      <c r="AJ30" s="93"/>
      <c r="AK30" s="93"/>
      <c r="AL30" s="93"/>
      <c r="AM30" s="93"/>
      <c r="AN30" s="93"/>
      <c r="AO30" s="93"/>
      <c r="AP30" s="56"/>
      <c r="AQ30" s="57"/>
      <c r="AR30" s="58"/>
      <c r="AS30" s="58"/>
      <c r="AT30" s="92"/>
      <c r="AU30" s="94"/>
      <c r="AV30" s="93"/>
      <c r="AW30" s="93"/>
      <c r="AX30" s="93"/>
      <c r="AY30" s="93"/>
      <c r="AZ30" s="93"/>
      <c r="BA30" s="93"/>
      <c r="BB30" s="93"/>
      <c r="BC30" s="56"/>
      <c r="BD30" s="268"/>
      <c r="BE30" s="269"/>
      <c r="BF30" s="269"/>
      <c r="BG30" s="269"/>
      <c r="BH30" s="284"/>
      <c r="BI30" s="269"/>
      <c r="BJ30" s="269"/>
      <c r="BK30" s="269"/>
      <c r="BL30" s="270"/>
      <c r="BM30" s="268"/>
      <c r="BN30" s="269"/>
      <c r="BO30" s="284"/>
      <c r="BP30" s="269"/>
      <c r="BQ30" s="284"/>
      <c r="BR30" s="269"/>
      <c r="BS30" s="269"/>
      <c r="BT30" s="269"/>
      <c r="BU30" s="270"/>
      <c r="BV30" s="268"/>
      <c r="BW30" s="269"/>
      <c r="BX30" s="284"/>
      <c r="BY30" s="269"/>
      <c r="BZ30" s="284"/>
      <c r="CA30" s="269"/>
      <c r="CB30" s="269"/>
      <c r="CC30" s="269"/>
      <c r="CD30" s="270"/>
      <c r="CE30" s="257"/>
      <c r="CF30" s="157"/>
      <c r="CG30" s="157"/>
      <c r="CH30" s="160"/>
      <c r="CI30" s="268"/>
      <c r="CJ30" s="269"/>
      <c r="CK30" s="284"/>
      <c r="CL30" s="269"/>
      <c r="CM30" s="284"/>
      <c r="CN30" s="269"/>
      <c r="CO30" s="269"/>
      <c r="CP30" s="269"/>
      <c r="CQ30" s="270"/>
      <c r="CR30" s="268"/>
      <c r="CS30" s="269"/>
      <c r="CT30" s="284"/>
      <c r="CU30" s="269"/>
      <c r="CV30" s="284"/>
      <c r="CW30" s="269"/>
      <c r="CX30" s="269"/>
      <c r="CY30" s="269"/>
      <c r="CZ30" s="270"/>
      <c r="DA30" s="268"/>
      <c r="DB30" s="269"/>
      <c r="DC30" s="284"/>
      <c r="DD30" s="269"/>
      <c r="DE30" s="284"/>
      <c r="DF30" s="269"/>
      <c r="DG30" s="269"/>
      <c r="DH30" s="269"/>
      <c r="DI30" s="270"/>
      <c r="DJ30" s="257"/>
      <c r="DK30" s="157"/>
      <c r="DL30" s="157"/>
      <c r="DM30" s="160"/>
      <c r="DN30" s="84"/>
      <c r="DO30" s="80"/>
      <c r="DP30" s="80"/>
      <c r="DQ30" s="80"/>
      <c r="DR30" s="80"/>
      <c r="DS30" s="80"/>
      <c r="DT30" s="80"/>
    </row>
    <row r="31" spans="2:118" s="38" customFormat="1" ht="12.75">
      <c r="B31" s="10" t="s">
        <v>30</v>
      </c>
      <c r="C31" s="38" t="s">
        <v>105</v>
      </c>
      <c r="D31" s="28">
        <v>0</v>
      </c>
      <c r="E31" s="6">
        <v>100</v>
      </c>
      <c r="F31" s="6">
        <v>-100</v>
      </c>
      <c r="G31" s="6">
        <v>0</v>
      </c>
      <c r="H31" s="17">
        <f t="shared" si="9"/>
        <v>0</v>
      </c>
      <c r="I31" s="28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17">
        <f t="shared" si="10"/>
        <v>0</v>
      </c>
      <c r="P31" s="12">
        <f>SUM(D31,E31,I31,J31)</f>
        <v>100</v>
      </c>
      <c r="Q31" s="13">
        <f>SUM(D31,I31)+SUM(F31,K31,M31)*-1</f>
        <v>100</v>
      </c>
      <c r="R31" s="34">
        <f aca="true" t="shared" si="50" ref="R31:R72">SUM(P31-Q31)</f>
        <v>0</v>
      </c>
      <c r="S31" s="63">
        <v>0</v>
      </c>
      <c r="T31" s="64">
        <v>0</v>
      </c>
      <c r="U31" s="64">
        <v>0</v>
      </c>
      <c r="V31" s="64">
        <v>0</v>
      </c>
      <c r="W31" s="65">
        <f aca="true" t="shared" si="51" ref="W31:W72">SUM(R31,T31:V31)</f>
        <v>0</v>
      </c>
      <c r="X31" s="63">
        <v>0</v>
      </c>
      <c r="Y31" s="64">
        <v>0</v>
      </c>
      <c r="Z31" s="64">
        <v>0</v>
      </c>
      <c r="AA31" s="64">
        <v>0</v>
      </c>
      <c r="AB31" s="65">
        <f aca="true" t="shared" si="52" ref="AB31:AB41">SUM(W31,Y31:AA31)</f>
        <v>0</v>
      </c>
      <c r="AC31" s="63">
        <v>0</v>
      </c>
      <c r="AD31" s="6">
        <v>0</v>
      </c>
      <c r="AE31" s="6">
        <v>0</v>
      </c>
      <c r="AF31" s="64">
        <v>0</v>
      </c>
      <c r="AG31" s="100">
        <f aca="true" t="shared" si="53" ref="AG31:AG72">SUM(AB31,AD31:AF31)</f>
        <v>0</v>
      </c>
      <c r="AH31" s="63">
        <v>0</v>
      </c>
      <c r="AI31" s="64">
        <v>0</v>
      </c>
      <c r="AJ31" s="64">
        <v>0</v>
      </c>
      <c r="AK31" s="64">
        <v>0</v>
      </c>
      <c r="AL31" s="70">
        <f>SUM(AG31,AI31:AK31)</f>
        <v>0</v>
      </c>
      <c r="AM31" s="58">
        <v>0</v>
      </c>
      <c r="AN31" s="58">
        <v>0</v>
      </c>
      <c r="AO31" s="58">
        <v>0</v>
      </c>
      <c r="AP31" s="59">
        <f>SUM(AM31:AO31)</f>
        <v>0</v>
      </c>
      <c r="AQ31" s="57">
        <f aca="true" t="shared" si="54" ref="AQ31:AQ72">SUM(P31,S31,T31,V31,X31,Y31,AA31,AC31,AD31,AF31,AH31,AI31,AK31,AM31,AO31)</f>
        <v>100</v>
      </c>
      <c r="AR31" s="58">
        <f aca="true" t="shared" si="55" ref="AR31:AR72">SUM(Q31)+(S31+X31+AC31+AH31)+SUM((U31+Z31+AE31+AJ31+AN31)*-1)</f>
        <v>100</v>
      </c>
      <c r="AS31" s="58">
        <f aca="true" t="shared" si="56" ref="AS31:AS72">SUM(AQ31-AR31)</f>
        <v>0</v>
      </c>
      <c r="AT31" s="92">
        <f aca="true" t="shared" si="57" ref="AT31:AT72">SUM(AP31)</f>
        <v>0</v>
      </c>
      <c r="AU31" s="63">
        <v>0</v>
      </c>
      <c r="AV31" s="64">
        <v>0</v>
      </c>
      <c r="AW31" s="6">
        <v>0</v>
      </c>
      <c r="AX31" s="64">
        <v>0</v>
      </c>
      <c r="AY31" s="16">
        <f aca="true" t="shared" si="58" ref="AY31:AY72">SUM(AS31,AV31:AX31)</f>
        <v>0</v>
      </c>
      <c r="AZ31" s="58">
        <v>0</v>
      </c>
      <c r="BA31" s="58">
        <v>0</v>
      </c>
      <c r="BB31" s="58">
        <v>0</v>
      </c>
      <c r="BC31" s="59">
        <f aca="true" t="shared" si="59" ref="BC31:BC72">SUM(AZ31:BB31)</f>
        <v>0</v>
      </c>
      <c r="BD31" s="271">
        <v>0</v>
      </c>
      <c r="BE31" s="97">
        <v>0</v>
      </c>
      <c r="BF31" s="151">
        <v>0</v>
      </c>
      <c r="BG31" s="97">
        <v>0</v>
      </c>
      <c r="BH31" s="284">
        <f aca="true" t="shared" si="60" ref="BH31:BH72">SUM(AY31,BE31:BG31)</f>
        <v>0</v>
      </c>
      <c r="BI31" s="157">
        <v>0</v>
      </c>
      <c r="BJ31" s="157">
        <v>0</v>
      </c>
      <c r="BK31" s="157">
        <v>0</v>
      </c>
      <c r="BL31" s="259">
        <f aca="true" t="shared" si="61" ref="BL31:BL72">SUM(BI31:BK31)</f>
        <v>0</v>
      </c>
      <c r="BM31" s="271">
        <v>0</v>
      </c>
      <c r="BN31" s="97">
        <v>0</v>
      </c>
      <c r="BO31" s="151">
        <v>0</v>
      </c>
      <c r="BP31" s="97">
        <v>0</v>
      </c>
      <c r="BQ31" s="284">
        <f aca="true" t="shared" si="62" ref="BQ31:BQ73">SUM(BH31,BN31:BP31)</f>
        <v>0</v>
      </c>
      <c r="BR31" s="157">
        <v>0</v>
      </c>
      <c r="BS31" s="157">
        <v>0</v>
      </c>
      <c r="BT31" s="157">
        <v>0</v>
      </c>
      <c r="BU31" s="259">
        <f aca="true" t="shared" si="63" ref="BU31:BU37">SUM(BR31:BT31)</f>
        <v>0</v>
      </c>
      <c r="BV31" s="166">
        <v>0</v>
      </c>
      <c r="BW31" s="151">
        <v>0</v>
      </c>
      <c r="BX31" s="151">
        <v>0</v>
      </c>
      <c r="BY31" s="151">
        <v>0</v>
      </c>
      <c r="BZ31" s="284">
        <f aca="true" t="shared" si="64" ref="BZ31:BZ73">SUM(BQ31,BW31:BY31)</f>
        <v>0</v>
      </c>
      <c r="CA31" s="260">
        <v>0</v>
      </c>
      <c r="CB31" s="260">
        <v>0</v>
      </c>
      <c r="CC31" s="260">
        <v>0</v>
      </c>
      <c r="CD31" s="162">
        <f aca="true" t="shared" si="65" ref="CD31:CD37">SUM(CA31:CC31)</f>
        <v>0</v>
      </c>
      <c r="CE31" s="257">
        <f aca="true" t="shared" si="66" ref="CE31:CE37">SUM(AQ31,AU31,AV31,AX31,BD31,BE31,BG31,BM31,BN31,BP31,BV31,BW31,BY31)</f>
        <v>100</v>
      </c>
      <c r="CF31" s="157">
        <f aca="true" t="shared" si="67" ref="CF31:CF37">SUM(AR31-AW31-BF31-BO31-BX31)</f>
        <v>100</v>
      </c>
      <c r="CG31" s="157">
        <f aca="true" t="shared" si="68" ref="CG31:CG37">SUM(CE31-CF31)</f>
        <v>0</v>
      </c>
      <c r="CH31" s="160">
        <f aca="true" t="shared" si="69" ref="CH31:CH73">SUM(CD31)</f>
        <v>0</v>
      </c>
      <c r="CI31" s="166">
        <v>0</v>
      </c>
      <c r="CJ31" s="151">
        <v>0</v>
      </c>
      <c r="CK31" s="151">
        <v>0</v>
      </c>
      <c r="CL31" s="151">
        <v>0</v>
      </c>
      <c r="CM31" s="284">
        <f>SUM(CG31,CJ31,CK31,CL31)</f>
        <v>0</v>
      </c>
      <c r="CN31" s="260">
        <v>0</v>
      </c>
      <c r="CO31" s="260">
        <v>0</v>
      </c>
      <c r="CP31" s="260">
        <v>0</v>
      </c>
      <c r="CQ31" s="162">
        <f aca="true" t="shared" si="70" ref="CQ31:CQ37">SUM(CN31:CP31)</f>
        <v>0</v>
      </c>
      <c r="CR31" s="166">
        <v>0</v>
      </c>
      <c r="CS31" s="151">
        <v>0</v>
      </c>
      <c r="CT31" s="151">
        <v>0</v>
      </c>
      <c r="CU31" s="151">
        <v>0</v>
      </c>
      <c r="CV31" s="284">
        <f>SUM(CP31,CS31,CT31,CU31)</f>
        <v>0</v>
      </c>
      <c r="CW31" s="260">
        <v>0</v>
      </c>
      <c r="CX31" s="260">
        <v>0</v>
      </c>
      <c r="CY31" s="260">
        <v>0</v>
      </c>
      <c r="CZ31" s="162">
        <f>SUM(CW31:CY31)</f>
        <v>0</v>
      </c>
      <c r="DA31" s="166">
        <v>0</v>
      </c>
      <c r="DB31" s="151">
        <v>0</v>
      </c>
      <c r="DC31" s="151">
        <v>0</v>
      </c>
      <c r="DD31" s="151">
        <v>0</v>
      </c>
      <c r="DE31" s="284">
        <f>SUM(CY31,DB31,DC31,DD31)</f>
        <v>0</v>
      </c>
      <c r="DF31" s="260">
        <v>0</v>
      </c>
      <c r="DG31" s="260">
        <v>0</v>
      </c>
      <c r="DH31" s="260">
        <v>0</v>
      </c>
      <c r="DI31" s="162">
        <f>SUM(DF31:DH31)</f>
        <v>0</v>
      </c>
      <c r="DJ31" s="159">
        <f aca="true" t="shared" si="71" ref="DJ31:DJ73">SUM(CE31,CI31,CJ31,CN31,CL31,CP31,CR31,CS31,CU31,CW31,CY31,DA31,DB31,DD31,DF31,DH31)</f>
        <v>100</v>
      </c>
      <c r="DK31" s="260">
        <f aca="true" t="shared" si="72" ref="DK31:DK73">SUM(CF31+CI31-CK31-CO31+CR31-CT31-CX31+DA31-DC31-DG31)</f>
        <v>100</v>
      </c>
      <c r="DL31" s="260">
        <f aca="true" t="shared" si="73" ref="DL31:DL37">SUM(DJ31-DK31)</f>
        <v>0</v>
      </c>
      <c r="DM31" s="160">
        <f aca="true" t="shared" si="74" ref="DM31:DM73">SUM(DI31)</f>
        <v>0</v>
      </c>
      <c r="DN31" s="84"/>
    </row>
    <row r="32" spans="2:118" s="38" customFormat="1" ht="12.75">
      <c r="B32" s="10" t="s">
        <v>30</v>
      </c>
      <c r="C32" s="38" t="s">
        <v>55</v>
      </c>
      <c r="D32" s="28">
        <v>22</v>
      </c>
      <c r="E32" s="6">
        <v>0</v>
      </c>
      <c r="F32" s="6">
        <v>0</v>
      </c>
      <c r="G32" s="6">
        <v>0</v>
      </c>
      <c r="H32" s="17">
        <f t="shared" si="9"/>
        <v>0</v>
      </c>
      <c r="I32" s="28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17">
        <f t="shared" si="10"/>
        <v>0</v>
      </c>
      <c r="P32" s="12">
        <f>SUM(D32,E32,I32,J32)</f>
        <v>22</v>
      </c>
      <c r="Q32" s="13">
        <f>SUM(D32,I32)+SUM(F32,K32,M32)*-1</f>
        <v>22</v>
      </c>
      <c r="R32" s="34">
        <f t="shared" si="50"/>
        <v>0</v>
      </c>
      <c r="S32" s="63">
        <v>0</v>
      </c>
      <c r="T32" s="64">
        <v>0</v>
      </c>
      <c r="U32" s="64">
        <v>0</v>
      </c>
      <c r="V32" s="64">
        <v>0</v>
      </c>
      <c r="W32" s="65">
        <f t="shared" si="51"/>
        <v>0</v>
      </c>
      <c r="X32" s="63">
        <v>0</v>
      </c>
      <c r="Y32" s="64">
        <v>0</v>
      </c>
      <c r="Z32" s="64">
        <v>0</v>
      </c>
      <c r="AA32" s="64">
        <v>0</v>
      </c>
      <c r="AB32" s="65">
        <f t="shared" si="52"/>
        <v>0</v>
      </c>
      <c r="AC32" s="63">
        <v>0</v>
      </c>
      <c r="AD32" s="6">
        <v>0</v>
      </c>
      <c r="AE32" s="6">
        <v>0</v>
      </c>
      <c r="AF32" s="64">
        <v>0</v>
      </c>
      <c r="AG32" s="100">
        <f>SUM(AB32,AD32:AF32)</f>
        <v>0</v>
      </c>
      <c r="AH32" s="63">
        <v>0</v>
      </c>
      <c r="AI32" s="64">
        <v>0</v>
      </c>
      <c r="AJ32" s="64">
        <v>0</v>
      </c>
      <c r="AK32" s="64">
        <v>0</v>
      </c>
      <c r="AL32" s="70">
        <f aca="true" t="shared" si="75" ref="AL32:AL72">SUM(AG32,AI32:AK32)</f>
        <v>0</v>
      </c>
      <c r="AM32" s="58">
        <v>0</v>
      </c>
      <c r="AN32" s="58">
        <v>0</v>
      </c>
      <c r="AO32" s="58">
        <v>0</v>
      </c>
      <c r="AP32" s="59">
        <f aca="true" t="shared" si="76" ref="AP32:AP72">SUM(AM32:AO32)</f>
        <v>0</v>
      </c>
      <c r="AQ32" s="57">
        <f t="shared" si="54"/>
        <v>22</v>
      </c>
      <c r="AR32" s="58">
        <f t="shared" si="55"/>
        <v>22</v>
      </c>
      <c r="AS32" s="58">
        <f t="shared" si="56"/>
        <v>0</v>
      </c>
      <c r="AT32" s="92">
        <f t="shared" si="57"/>
        <v>0</v>
      </c>
      <c r="AU32" s="63">
        <v>0</v>
      </c>
      <c r="AV32" s="64">
        <v>0</v>
      </c>
      <c r="AW32" s="6">
        <v>0</v>
      </c>
      <c r="AX32" s="64">
        <v>0</v>
      </c>
      <c r="AY32" s="16">
        <f t="shared" si="58"/>
        <v>0</v>
      </c>
      <c r="AZ32" s="58">
        <v>0</v>
      </c>
      <c r="BA32" s="58">
        <v>0</v>
      </c>
      <c r="BB32" s="58">
        <v>0</v>
      </c>
      <c r="BC32" s="59">
        <f t="shared" si="59"/>
        <v>0</v>
      </c>
      <c r="BD32" s="271">
        <v>0</v>
      </c>
      <c r="BE32" s="97">
        <v>0</v>
      </c>
      <c r="BF32" s="151">
        <v>0</v>
      </c>
      <c r="BG32" s="97">
        <v>0</v>
      </c>
      <c r="BH32" s="284">
        <f t="shared" si="60"/>
        <v>0</v>
      </c>
      <c r="BI32" s="157">
        <v>0</v>
      </c>
      <c r="BJ32" s="157">
        <v>0</v>
      </c>
      <c r="BK32" s="157">
        <v>0</v>
      </c>
      <c r="BL32" s="259">
        <f t="shared" si="61"/>
        <v>0</v>
      </c>
      <c r="BM32" s="271">
        <v>0</v>
      </c>
      <c r="BN32" s="97">
        <v>0</v>
      </c>
      <c r="BO32" s="151">
        <v>0</v>
      </c>
      <c r="BP32" s="97">
        <v>0</v>
      </c>
      <c r="BQ32" s="284">
        <f t="shared" si="62"/>
        <v>0</v>
      </c>
      <c r="BR32" s="157">
        <v>0</v>
      </c>
      <c r="BS32" s="157">
        <v>0</v>
      </c>
      <c r="BT32" s="157">
        <v>0</v>
      </c>
      <c r="BU32" s="259">
        <f t="shared" si="63"/>
        <v>0</v>
      </c>
      <c r="BV32" s="166">
        <v>0</v>
      </c>
      <c r="BW32" s="151">
        <v>0</v>
      </c>
      <c r="BX32" s="151">
        <v>0</v>
      </c>
      <c r="BY32" s="151">
        <v>0</v>
      </c>
      <c r="BZ32" s="284">
        <f t="shared" si="64"/>
        <v>0</v>
      </c>
      <c r="CA32" s="260">
        <v>0</v>
      </c>
      <c r="CB32" s="260">
        <v>0</v>
      </c>
      <c r="CC32" s="260">
        <v>0</v>
      </c>
      <c r="CD32" s="162">
        <f t="shared" si="65"/>
        <v>0</v>
      </c>
      <c r="CE32" s="257">
        <f t="shared" si="66"/>
        <v>22</v>
      </c>
      <c r="CF32" s="157">
        <f t="shared" si="67"/>
        <v>22</v>
      </c>
      <c r="CG32" s="157">
        <f t="shared" si="68"/>
        <v>0</v>
      </c>
      <c r="CH32" s="160">
        <f t="shared" si="69"/>
        <v>0</v>
      </c>
      <c r="CI32" s="166">
        <v>0</v>
      </c>
      <c r="CJ32" s="151">
        <v>0</v>
      </c>
      <c r="CK32" s="151">
        <v>0</v>
      </c>
      <c r="CL32" s="151">
        <v>0</v>
      </c>
      <c r="CM32" s="284">
        <f>SUM(CG32,CJ32,CK32,CL32)</f>
        <v>0</v>
      </c>
      <c r="CN32" s="260">
        <v>0</v>
      </c>
      <c r="CO32" s="260">
        <v>0</v>
      </c>
      <c r="CP32" s="260">
        <v>0</v>
      </c>
      <c r="CQ32" s="162">
        <f t="shared" si="70"/>
        <v>0</v>
      </c>
      <c r="CR32" s="166">
        <v>0</v>
      </c>
      <c r="CS32" s="151">
        <v>0</v>
      </c>
      <c r="CT32" s="151">
        <v>0</v>
      </c>
      <c r="CU32" s="151">
        <v>0</v>
      </c>
      <c r="CV32" s="284">
        <f>SUM(CP32,CS32,CT32,CU32)</f>
        <v>0</v>
      </c>
      <c r="CW32" s="260">
        <v>0</v>
      </c>
      <c r="CX32" s="260">
        <v>0</v>
      </c>
      <c r="CY32" s="260">
        <v>0</v>
      </c>
      <c r="CZ32" s="162">
        <f>SUM(CW32:CY32)</f>
        <v>0</v>
      </c>
      <c r="DA32" s="166">
        <v>0</v>
      </c>
      <c r="DB32" s="151">
        <v>0</v>
      </c>
      <c r="DC32" s="151">
        <v>0</v>
      </c>
      <c r="DD32" s="151">
        <v>0</v>
      </c>
      <c r="DE32" s="284">
        <f>SUM(CY32,DB32,DC32,DD32)</f>
        <v>0</v>
      </c>
      <c r="DF32" s="260">
        <v>0</v>
      </c>
      <c r="DG32" s="260">
        <v>0</v>
      </c>
      <c r="DH32" s="260">
        <v>0</v>
      </c>
      <c r="DI32" s="162">
        <f>SUM(DF32:DH32)</f>
        <v>0</v>
      </c>
      <c r="DJ32" s="159">
        <f t="shared" si="71"/>
        <v>22</v>
      </c>
      <c r="DK32" s="260">
        <f t="shared" si="72"/>
        <v>22</v>
      </c>
      <c r="DL32" s="260">
        <f t="shared" si="73"/>
        <v>0</v>
      </c>
      <c r="DM32" s="160">
        <f t="shared" si="74"/>
        <v>0</v>
      </c>
      <c r="DN32" s="84"/>
    </row>
    <row r="33" spans="2:118" s="38" customFormat="1" ht="12.75">
      <c r="B33" s="10" t="s">
        <v>30</v>
      </c>
      <c r="C33" s="38" t="s">
        <v>56</v>
      </c>
      <c r="D33" s="28">
        <v>-22</v>
      </c>
      <c r="E33" s="6">
        <v>0</v>
      </c>
      <c r="F33" s="6">
        <v>0</v>
      </c>
      <c r="G33" s="6">
        <v>0</v>
      </c>
      <c r="H33" s="17">
        <f t="shared" si="9"/>
        <v>0</v>
      </c>
      <c r="I33" s="28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17">
        <f t="shared" si="10"/>
        <v>0</v>
      </c>
      <c r="P33" s="12">
        <f>SUM(D33,E33,I33,J33)</f>
        <v>-22</v>
      </c>
      <c r="Q33" s="13">
        <f>SUM(D33,I33)+SUM(F33,K33,M33)*-1</f>
        <v>-22</v>
      </c>
      <c r="R33" s="34">
        <f t="shared" si="50"/>
        <v>0</v>
      </c>
      <c r="S33" s="63">
        <v>0</v>
      </c>
      <c r="T33" s="64">
        <v>0</v>
      </c>
      <c r="U33" s="64">
        <v>0</v>
      </c>
      <c r="V33" s="64">
        <v>0</v>
      </c>
      <c r="W33" s="65">
        <f t="shared" si="51"/>
        <v>0</v>
      </c>
      <c r="X33" s="63">
        <v>0</v>
      </c>
      <c r="Y33" s="64">
        <v>0</v>
      </c>
      <c r="Z33" s="64">
        <v>0</v>
      </c>
      <c r="AA33" s="64">
        <v>0</v>
      </c>
      <c r="AB33" s="65">
        <f t="shared" si="52"/>
        <v>0</v>
      </c>
      <c r="AC33" s="63">
        <v>0</v>
      </c>
      <c r="AD33" s="6">
        <v>0</v>
      </c>
      <c r="AE33" s="6">
        <v>0</v>
      </c>
      <c r="AF33" s="64">
        <v>0</v>
      </c>
      <c r="AG33" s="100">
        <f>SUM(AB33,AD33:AF33)</f>
        <v>0</v>
      </c>
      <c r="AH33" s="63">
        <v>0</v>
      </c>
      <c r="AI33" s="64">
        <v>0</v>
      </c>
      <c r="AJ33" s="64">
        <v>0</v>
      </c>
      <c r="AK33" s="64">
        <v>0</v>
      </c>
      <c r="AL33" s="70">
        <f t="shared" si="75"/>
        <v>0</v>
      </c>
      <c r="AM33" s="58">
        <v>0</v>
      </c>
      <c r="AN33" s="58">
        <v>0</v>
      </c>
      <c r="AO33" s="58">
        <v>0</v>
      </c>
      <c r="AP33" s="59">
        <f t="shared" si="76"/>
        <v>0</v>
      </c>
      <c r="AQ33" s="57">
        <f t="shared" si="54"/>
        <v>-22</v>
      </c>
      <c r="AR33" s="58">
        <f t="shared" si="55"/>
        <v>-22</v>
      </c>
      <c r="AS33" s="58">
        <f t="shared" si="56"/>
        <v>0</v>
      </c>
      <c r="AT33" s="92">
        <f t="shared" si="57"/>
        <v>0</v>
      </c>
      <c r="AU33" s="63">
        <v>0</v>
      </c>
      <c r="AV33" s="64">
        <v>0</v>
      </c>
      <c r="AW33" s="6">
        <v>0</v>
      </c>
      <c r="AX33" s="64">
        <v>0</v>
      </c>
      <c r="AY33" s="16">
        <f t="shared" si="58"/>
        <v>0</v>
      </c>
      <c r="AZ33" s="58">
        <v>0</v>
      </c>
      <c r="BA33" s="58">
        <v>0</v>
      </c>
      <c r="BB33" s="58">
        <v>0</v>
      </c>
      <c r="BC33" s="59">
        <f t="shared" si="59"/>
        <v>0</v>
      </c>
      <c r="BD33" s="271">
        <v>0</v>
      </c>
      <c r="BE33" s="97">
        <v>0</v>
      </c>
      <c r="BF33" s="151">
        <v>0</v>
      </c>
      <c r="BG33" s="97">
        <v>0</v>
      </c>
      <c r="BH33" s="284">
        <f t="shared" si="60"/>
        <v>0</v>
      </c>
      <c r="BI33" s="157">
        <v>0</v>
      </c>
      <c r="BJ33" s="157">
        <v>0</v>
      </c>
      <c r="BK33" s="157">
        <v>0</v>
      </c>
      <c r="BL33" s="259">
        <f t="shared" si="61"/>
        <v>0</v>
      </c>
      <c r="BM33" s="271">
        <v>0</v>
      </c>
      <c r="BN33" s="97">
        <v>0</v>
      </c>
      <c r="BO33" s="151">
        <v>0</v>
      </c>
      <c r="BP33" s="97">
        <v>0</v>
      </c>
      <c r="BQ33" s="284">
        <f t="shared" si="62"/>
        <v>0</v>
      </c>
      <c r="BR33" s="157">
        <v>0</v>
      </c>
      <c r="BS33" s="157">
        <v>0</v>
      </c>
      <c r="BT33" s="157">
        <v>0</v>
      </c>
      <c r="BU33" s="259">
        <f t="shared" si="63"/>
        <v>0</v>
      </c>
      <c r="BV33" s="166">
        <v>0</v>
      </c>
      <c r="BW33" s="151">
        <v>0</v>
      </c>
      <c r="BX33" s="151">
        <v>0</v>
      </c>
      <c r="BY33" s="151">
        <v>0</v>
      </c>
      <c r="BZ33" s="284">
        <f t="shared" si="64"/>
        <v>0</v>
      </c>
      <c r="CA33" s="260">
        <v>0</v>
      </c>
      <c r="CB33" s="260">
        <v>0</v>
      </c>
      <c r="CC33" s="260">
        <v>0</v>
      </c>
      <c r="CD33" s="162">
        <f t="shared" si="65"/>
        <v>0</v>
      </c>
      <c r="CE33" s="257">
        <f t="shared" si="66"/>
        <v>-22</v>
      </c>
      <c r="CF33" s="157">
        <f t="shared" si="67"/>
        <v>-22</v>
      </c>
      <c r="CG33" s="157">
        <f t="shared" si="68"/>
        <v>0</v>
      </c>
      <c r="CH33" s="160">
        <f t="shared" si="69"/>
        <v>0</v>
      </c>
      <c r="CI33" s="166">
        <v>0</v>
      </c>
      <c r="CJ33" s="151">
        <v>0</v>
      </c>
      <c r="CK33" s="151">
        <v>0</v>
      </c>
      <c r="CL33" s="151">
        <v>0</v>
      </c>
      <c r="CM33" s="284">
        <f>SUM(CG33,CJ33,CK33,CL33)</f>
        <v>0</v>
      </c>
      <c r="CN33" s="260">
        <v>0</v>
      </c>
      <c r="CO33" s="260">
        <v>0</v>
      </c>
      <c r="CP33" s="260">
        <v>0</v>
      </c>
      <c r="CQ33" s="162">
        <f t="shared" si="70"/>
        <v>0</v>
      </c>
      <c r="CR33" s="166">
        <v>0</v>
      </c>
      <c r="CS33" s="151">
        <v>0</v>
      </c>
      <c r="CT33" s="151">
        <v>0</v>
      </c>
      <c r="CU33" s="151">
        <v>0</v>
      </c>
      <c r="CV33" s="284">
        <f>SUM(CP33,CS33,CT33,CU33)</f>
        <v>0</v>
      </c>
      <c r="CW33" s="260">
        <v>0</v>
      </c>
      <c r="CX33" s="260">
        <v>0</v>
      </c>
      <c r="CY33" s="260">
        <v>0</v>
      </c>
      <c r="CZ33" s="162">
        <f>SUM(CW33:CY33)</f>
        <v>0</v>
      </c>
      <c r="DA33" s="166">
        <v>0</v>
      </c>
      <c r="DB33" s="151">
        <v>0</v>
      </c>
      <c r="DC33" s="151">
        <v>0</v>
      </c>
      <c r="DD33" s="151">
        <v>0</v>
      </c>
      <c r="DE33" s="284">
        <f>SUM(CY33,DB33,DC33,DD33)</f>
        <v>0</v>
      </c>
      <c r="DF33" s="260">
        <v>0</v>
      </c>
      <c r="DG33" s="260">
        <v>0</v>
      </c>
      <c r="DH33" s="260">
        <v>0</v>
      </c>
      <c r="DI33" s="162">
        <f>SUM(DF33:DH33)</f>
        <v>0</v>
      </c>
      <c r="DJ33" s="159">
        <f t="shared" si="71"/>
        <v>-22</v>
      </c>
      <c r="DK33" s="260">
        <f t="shared" si="72"/>
        <v>-22</v>
      </c>
      <c r="DL33" s="260">
        <f t="shared" si="73"/>
        <v>0</v>
      </c>
      <c r="DM33" s="160">
        <f t="shared" si="74"/>
        <v>0</v>
      </c>
      <c r="DN33" s="84"/>
    </row>
    <row r="34" spans="2:118" s="38" customFormat="1" ht="12.75">
      <c r="B34" s="10" t="s">
        <v>30</v>
      </c>
      <c r="C34" s="38" t="s">
        <v>33</v>
      </c>
      <c r="D34" s="28">
        <v>0</v>
      </c>
      <c r="E34" s="6">
        <v>1</v>
      </c>
      <c r="F34" s="6">
        <v>-1.37</v>
      </c>
      <c r="G34" s="6">
        <v>0</v>
      </c>
      <c r="H34" s="17">
        <f t="shared" si="9"/>
        <v>-0.3700000000000001</v>
      </c>
      <c r="I34" s="28">
        <v>0</v>
      </c>
      <c r="J34" s="6">
        <v>0.1</v>
      </c>
      <c r="K34" s="6">
        <v>0.23</v>
      </c>
      <c r="L34" s="6">
        <v>0</v>
      </c>
      <c r="M34" s="6">
        <v>0</v>
      </c>
      <c r="N34" s="6">
        <v>0</v>
      </c>
      <c r="O34" s="17">
        <f t="shared" si="10"/>
        <v>-0.04000000000000012</v>
      </c>
      <c r="P34" s="12">
        <f>SUM(D34,E34,I34,J34)-1.1-0.6</f>
        <v>-0.6</v>
      </c>
      <c r="Q34" s="13">
        <f>SUM(D34,I34)+SUM(F34,K34,M34)*-1-1.14-0.6</f>
        <v>-0.5999999999999998</v>
      </c>
      <c r="R34" s="34">
        <f t="shared" si="50"/>
        <v>-2.220446049250313E-16</v>
      </c>
      <c r="S34" s="63">
        <v>0</v>
      </c>
      <c r="T34" s="64">
        <v>-0.4</v>
      </c>
      <c r="U34" s="64">
        <v>0</v>
      </c>
      <c r="V34" s="64">
        <v>0.04</v>
      </c>
      <c r="W34" s="65">
        <f t="shared" si="51"/>
        <v>-0.36000000000000026</v>
      </c>
      <c r="X34" s="63">
        <v>0</v>
      </c>
      <c r="Y34" s="64">
        <v>0.045</v>
      </c>
      <c r="Z34" s="64">
        <v>0</v>
      </c>
      <c r="AA34" s="64">
        <v>0.04</v>
      </c>
      <c r="AB34" s="65">
        <f t="shared" si="52"/>
        <v>-0.2750000000000003</v>
      </c>
      <c r="AC34" s="63">
        <v>0</v>
      </c>
      <c r="AD34" s="6">
        <v>-0.3</v>
      </c>
      <c r="AE34" s="6">
        <v>0.2</v>
      </c>
      <c r="AF34" s="64">
        <v>0</v>
      </c>
      <c r="AG34" s="100">
        <f t="shared" si="53"/>
        <v>-0.3750000000000003</v>
      </c>
      <c r="AH34" s="63">
        <v>0</v>
      </c>
      <c r="AI34" s="64">
        <v>0.123</v>
      </c>
      <c r="AJ34" s="64">
        <v>0</v>
      </c>
      <c r="AK34" s="64">
        <v>-0.5</v>
      </c>
      <c r="AL34" s="70">
        <f t="shared" si="75"/>
        <v>-0.7520000000000002</v>
      </c>
      <c r="AM34" s="58">
        <v>0</v>
      </c>
      <c r="AN34" s="58">
        <v>0</v>
      </c>
      <c r="AO34" s="58">
        <v>0</v>
      </c>
      <c r="AP34" s="59">
        <f t="shared" si="76"/>
        <v>0</v>
      </c>
      <c r="AQ34" s="57">
        <f t="shared" si="54"/>
        <v>-1.5519999999999998</v>
      </c>
      <c r="AR34" s="58">
        <f t="shared" si="55"/>
        <v>-0.7999999999999998</v>
      </c>
      <c r="AS34" s="58">
        <f t="shared" si="56"/>
        <v>-0.752</v>
      </c>
      <c r="AT34" s="92">
        <f t="shared" si="57"/>
        <v>0</v>
      </c>
      <c r="AU34" s="63">
        <v>0</v>
      </c>
      <c r="AV34" s="64">
        <v>0</v>
      </c>
      <c r="AW34" s="6">
        <v>0</v>
      </c>
      <c r="AX34" s="64">
        <v>0.2</v>
      </c>
      <c r="AY34" s="16">
        <f t="shared" si="58"/>
        <v>-0.552</v>
      </c>
      <c r="AZ34" s="58">
        <v>0</v>
      </c>
      <c r="BA34" s="58">
        <v>0</v>
      </c>
      <c r="BB34" s="58">
        <v>0</v>
      </c>
      <c r="BC34" s="59">
        <f t="shared" si="59"/>
        <v>0</v>
      </c>
      <c r="BD34" s="271">
        <v>0</v>
      </c>
      <c r="BE34" s="97">
        <v>0.2</v>
      </c>
      <c r="BF34" s="151">
        <v>-0.083</v>
      </c>
      <c r="BG34" s="97">
        <v>0</v>
      </c>
      <c r="BH34" s="297">
        <f t="shared" si="60"/>
        <v>-0.43500000000000005</v>
      </c>
      <c r="BI34" s="157">
        <v>0</v>
      </c>
      <c r="BJ34" s="157">
        <v>0</v>
      </c>
      <c r="BK34" s="157">
        <v>0</v>
      </c>
      <c r="BL34" s="259">
        <f t="shared" si="61"/>
        <v>0</v>
      </c>
      <c r="BM34" s="271">
        <v>0</v>
      </c>
      <c r="BN34" s="97">
        <v>-0.153</v>
      </c>
      <c r="BO34" s="151">
        <f>0.138</f>
        <v>0.138</v>
      </c>
      <c r="BP34" s="97">
        <v>0</v>
      </c>
      <c r="BQ34" s="297">
        <f t="shared" si="62"/>
        <v>-0.45000000000000007</v>
      </c>
      <c r="BR34" s="157">
        <v>0</v>
      </c>
      <c r="BS34" s="157">
        <v>0</v>
      </c>
      <c r="BT34" s="157">
        <v>0</v>
      </c>
      <c r="BU34" s="259">
        <f t="shared" si="63"/>
        <v>0</v>
      </c>
      <c r="BV34" s="166">
        <v>0</v>
      </c>
      <c r="BW34" s="151">
        <v>0</v>
      </c>
      <c r="BX34" s="151">
        <v>0</v>
      </c>
      <c r="BY34" s="151">
        <v>0</v>
      </c>
      <c r="BZ34" s="284">
        <f t="shared" si="64"/>
        <v>-0.45000000000000007</v>
      </c>
      <c r="CA34" s="260">
        <v>0</v>
      </c>
      <c r="CB34" s="260">
        <v>0</v>
      </c>
      <c r="CC34" s="260">
        <v>0</v>
      </c>
      <c r="CD34" s="162">
        <f t="shared" si="65"/>
        <v>0</v>
      </c>
      <c r="CE34" s="257">
        <f t="shared" si="66"/>
        <v>-1.305</v>
      </c>
      <c r="CF34" s="157">
        <f t="shared" si="67"/>
        <v>-0.8549999999999999</v>
      </c>
      <c r="CG34" s="157">
        <f t="shared" si="68"/>
        <v>-0.45000000000000007</v>
      </c>
      <c r="CH34" s="160">
        <f t="shared" si="69"/>
        <v>0</v>
      </c>
      <c r="CI34" s="166">
        <v>0</v>
      </c>
      <c r="CJ34" s="151">
        <v>0</v>
      </c>
      <c r="CK34" s="151">
        <v>0</v>
      </c>
      <c r="CL34" s="151">
        <v>0</v>
      </c>
      <c r="CM34" s="284">
        <f>SUM(CG34,CJ34,CK34,CL34)</f>
        <v>-0.45000000000000007</v>
      </c>
      <c r="CN34" s="260">
        <v>0</v>
      </c>
      <c r="CO34" s="260">
        <v>0</v>
      </c>
      <c r="CP34" s="260">
        <v>0</v>
      </c>
      <c r="CQ34" s="162">
        <f t="shared" si="70"/>
        <v>0</v>
      </c>
      <c r="CR34" s="166">
        <v>0</v>
      </c>
      <c r="CS34" s="151">
        <v>0</v>
      </c>
      <c r="CT34" s="151">
        <v>0</v>
      </c>
      <c r="CU34" s="151">
        <v>0</v>
      </c>
      <c r="CV34" s="284">
        <f>SUM(CP34,CS34,CT34,CU34)</f>
        <v>0</v>
      </c>
      <c r="CW34" s="260">
        <v>0</v>
      </c>
      <c r="CX34" s="260">
        <v>0</v>
      </c>
      <c r="CY34" s="260">
        <v>0</v>
      </c>
      <c r="CZ34" s="162">
        <f>SUM(CW34:CY34)</f>
        <v>0</v>
      </c>
      <c r="DA34" s="166">
        <v>0</v>
      </c>
      <c r="DB34" s="151">
        <v>0</v>
      </c>
      <c r="DC34" s="151">
        <v>0</v>
      </c>
      <c r="DD34" s="151">
        <v>0</v>
      </c>
      <c r="DE34" s="284">
        <f>SUM(CY34,DB34,DC34,DD34)</f>
        <v>0</v>
      </c>
      <c r="DF34" s="260">
        <v>0</v>
      </c>
      <c r="DG34" s="260">
        <v>0</v>
      </c>
      <c r="DH34" s="260">
        <v>0</v>
      </c>
      <c r="DI34" s="162">
        <f>SUM(DF34:DH34)</f>
        <v>0</v>
      </c>
      <c r="DJ34" s="159">
        <f t="shared" si="71"/>
        <v>-1.305</v>
      </c>
      <c r="DK34" s="260">
        <f t="shared" si="72"/>
        <v>-0.8549999999999999</v>
      </c>
      <c r="DL34" s="260">
        <f t="shared" si="73"/>
        <v>-0.45000000000000007</v>
      </c>
      <c r="DM34" s="160">
        <f t="shared" si="74"/>
        <v>0</v>
      </c>
      <c r="DN34" s="84"/>
    </row>
    <row r="35" spans="2:118" s="38" customFormat="1" ht="12.75">
      <c r="B35" s="10" t="s">
        <v>30</v>
      </c>
      <c r="C35" s="38" t="s">
        <v>18</v>
      </c>
      <c r="D35" s="28">
        <v>0</v>
      </c>
      <c r="E35" s="6">
        <v>0</v>
      </c>
      <c r="F35" s="6">
        <v>0</v>
      </c>
      <c r="G35" s="6">
        <v>0</v>
      </c>
      <c r="H35" s="14">
        <f t="shared" si="9"/>
        <v>0</v>
      </c>
      <c r="I35" s="28">
        <v>0</v>
      </c>
      <c r="J35" s="6">
        <v>30.4</v>
      </c>
      <c r="K35" s="6">
        <v>0</v>
      </c>
      <c r="L35" s="6">
        <v>0</v>
      </c>
      <c r="M35" s="6">
        <v>0</v>
      </c>
      <c r="N35" s="6">
        <v>0</v>
      </c>
      <c r="O35" s="14">
        <f t="shared" si="10"/>
        <v>30.4</v>
      </c>
      <c r="P35" s="385">
        <f>SUM(D35,E35,I35,J35)+0.083</f>
        <v>30.482999999999997</v>
      </c>
      <c r="Q35" s="27">
        <f aca="true" t="shared" si="77" ref="Q35:Q71">SUM(D35,I35)+SUM(F35,K35,M35)*-1</f>
        <v>0</v>
      </c>
      <c r="R35" s="92">
        <f t="shared" si="50"/>
        <v>30.482999999999997</v>
      </c>
      <c r="S35" s="28">
        <v>0</v>
      </c>
      <c r="T35" s="151">
        <v>2.2</v>
      </c>
      <c r="U35" s="151">
        <v>-20.202</v>
      </c>
      <c r="V35" s="6">
        <v>0</v>
      </c>
      <c r="W35" s="14">
        <f t="shared" si="51"/>
        <v>12.480999999999998</v>
      </c>
      <c r="X35" s="28">
        <v>0</v>
      </c>
      <c r="Y35" s="151">
        <f>1+37</f>
        <v>38</v>
      </c>
      <c r="Z35" s="151">
        <v>-5.34</v>
      </c>
      <c r="AA35" s="6">
        <v>0</v>
      </c>
      <c r="AB35" s="14">
        <f t="shared" si="52"/>
        <v>45.14099999999999</v>
      </c>
      <c r="AC35" s="28">
        <v>0</v>
      </c>
      <c r="AD35" s="151">
        <f>14.6+1.6</f>
        <v>16.2</v>
      </c>
      <c r="AE35" s="151">
        <f>-6.2+0.147</f>
        <v>-6.053</v>
      </c>
      <c r="AF35" s="6">
        <v>0</v>
      </c>
      <c r="AG35" s="16">
        <f t="shared" si="53"/>
        <v>55.288</v>
      </c>
      <c r="AH35" s="29">
        <v>0</v>
      </c>
      <c r="AI35" s="260">
        <f>3.347+0.273</f>
        <v>3.62</v>
      </c>
      <c r="AJ35" s="27">
        <v>-37.961</v>
      </c>
      <c r="AK35" s="27">
        <v>0</v>
      </c>
      <c r="AL35" s="16">
        <f t="shared" si="75"/>
        <v>20.946999999999996</v>
      </c>
      <c r="AM35" s="27">
        <v>0</v>
      </c>
      <c r="AN35" s="27">
        <v>0</v>
      </c>
      <c r="AO35" s="27">
        <v>0</v>
      </c>
      <c r="AP35" s="14">
        <f t="shared" si="76"/>
        <v>0</v>
      </c>
      <c r="AQ35" s="29">
        <f t="shared" si="54"/>
        <v>90.503</v>
      </c>
      <c r="AR35" s="27">
        <f t="shared" si="55"/>
        <v>69.556</v>
      </c>
      <c r="AS35" s="27">
        <f t="shared" si="56"/>
        <v>20.947000000000003</v>
      </c>
      <c r="AT35" s="92">
        <f t="shared" si="57"/>
        <v>0</v>
      </c>
      <c r="AU35" s="29">
        <v>0</v>
      </c>
      <c r="AV35" s="27">
        <v>7.617</v>
      </c>
      <c r="AW35" s="27">
        <v>-18.648</v>
      </c>
      <c r="AX35" s="27">
        <v>-0.5</v>
      </c>
      <c r="AY35" s="16">
        <f t="shared" si="58"/>
        <v>9.416000000000004</v>
      </c>
      <c r="AZ35" s="27">
        <v>0</v>
      </c>
      <c r="BA35" s="27">
        <v>0</v>
      </c>
      <c r="BB35" s="27">
        <v>0</v>
      </c>
      <c r="BC35" s="14">
        <f t="shared" si="59"/>
        <v>0</v>
      </c>
      <c r="BD35" s="159">
        <v>0</v>
      </c>
      <c r="BE35" s="27">
        <f>-0.212</f>
        <v>-0.212</v>
      </c>
      <c r="BF35" s="260">
        <v>-7.865</v>
      </c>
      <c r="BG35" s="260">
        <v>0</v>
      </c>
      <c r="BH35" s="284">
        <f t="shared" si="60"/>
        <v>1.339000000000004</v>
      </c>
      <c r="BI35" s="260">
        <v>0</v>
      </c>
      <c r="BJ35" s="260">
        <v>0</v>
      </c>
      <c r="BK35" s="260">
        <v>0</v>
      </c>
      <c r="BL35" s="162">
        <f t="shared" si="61"/>
        <v>0</v>
      </c>
      <c r="BM35" s="159">
        <v>0</v>
      </c>
      <c r="BN35" s="27">
        <f>0.645+0.153</f>
        <v>0.798</v>
      </c>
      <c r="BO35" s="260">
        <f>-0.705-0.138</f>
        <v>-0.843</v>
      </c>
      <c r="BP35" s="260">
        <v>0</v>
      </c>
      <c r="BQ35" s="284">
        <f t="shared" si="62"/>
        <v>1.294000000000004</v>
      </c>
      <c r="BR35" s="260">
        <v>0</v>
      </c>
      <c r="BS35" s="260">
        <v>0</v>
      </c>
      <c r="BT35" s="260">
        <v>0</v>
      </c>
      <c r="BU35" s="162">
        <f t="shared" si="63"/>
        <v>0</v>
      </c>
      <c r="BV35" s="159">
        <v>0</v>
      </c>
      <c r="BW35" s="260">
        <v>0.3</v>
      </c>
      <c r="BX35" s="308">
        <v>-0.86682</v>
      </c>
      <c r="BY35" s="260">
        <v>0</v>
      </c>
      <c r="BZ35" s="284">
        <f t="shared" si="64"/>
        <v>0.727180000000004</v>
      </c>
      <c r="CA35" s="260">
        <v>0</v>
      </c>
      <c r="CB35" s="260">
        <v>0</v>
      </c>
      <c r="CC35" s="260">
        <v>0</v>
      </c>
      <c r="CD35" s="162">
        <f t="shared" si="65"/>
        <v>0</v>
      </c>
      <c r="CE35" s="159">
        <f t="shared" si="66"/>
        <v>98.506</v>
      </c>
      <c r="CF35" s="260">
        <f t="shared" si="67"/>
        <v>97.77882</v>
      </c>
      <c r="CG35" s="260">
        <f t="shared" si="68"/>
        <v>0.7271800000000042</v>
      </c>
      <c r="CH35" s="160">
        <f t="shared" si="69"/>
        <v>0</v>
      </c>
      <c r="CI35" s="159">
        <v>0</v>
      </c>
      <c r="CJ35" s="260">
        <v>0.573142</v>
      </c>
      <c r="CK35" s="308">
        <f>-0.77576-0.08</f>
        <v>-0.85576</v>
      </c>
      <c r="CL35" s="260">
        <v>0</v>
      </c>
      <c r="CM35" s="284">
        <f>SUM(CG35,CJ35,CK35,CL35)</f>
        <v>0.44456200000000423</v>
      </c>
      <c r="CN35" s="260">
        <v>0</v>
      </c>
      <c r="CO35" s="260">
        <v>0</v>
      </c>
      <c r="CP35" s="260">
        <v>0</v>
      </c>
      <c r="CQ35" s="162">
        <f t="shared" si="70"/>
        <v>0</v>
      </c>
      <c r="CR35" s="159">
        <v>0</v>
      </c>
      <c r="CS35" s="260">
        <v>3.643</v>
      </c>
      <c r="CT35" s="308">
        <v>-0.15</v>
      </c>
      <c r="CU35" s="260">
        <v>0</v>
      </c>
      <c r="CV35" s="284">
        <f aca="true" t="shared" si="78" ref="CV35:CV73">SUM(CM35,CS35,CT35,CU35)</f>
        <v>3.937562000000004</v>
      </c>
      <c r="CW35" s="260">
        <v>0</v>
      </c>
      <c r="CX35" s="260">
        <v>0</v>
      </c>
      <c r="CY35" s="260">
        <v>0</v>
      </c>
      <c r="CZ35" s="162">
        <f aca="true" t="shared" si="79" ref="CZ35:CZ41">SUM(CQ35,CW35,CX35,CY35)</f>
        <v>0</v>
      </c>
      <c r="DA35" s="159">
        <v>0</v>
      </c>
      <c r="DB35" s="260">
        <v>-0.254</v>
      </c>
      <c r="DC35" s="308">
        <f>-0.85-0.057475</f>
        <v>-0.907475</v>
      </c>
      <c r="DD35" s="260">
        <v>0</v>
      </c>
      <c r="DE35" s="284">
        <f aca="true" t="shared" si="80" ref="DE35:DE73">SUM(CV35,DB35,DC35,DD35)</f>
        <v>2.776087000000004</v>
      </c>
      <c r="DF35" s="260">
        <v>0</v>
      </c>
      <c r="DG35" s="260">
        <v>0</v>
      </c>
      <c r="DH35" s="260">
        <v>0</v>
      </c>
      <c r="DI35" s="162">
        <f aca="true" t="shared" si="81" ref="DI35:DI41">SUM(CZ35,DF35,DG35,DH35)</f>
        <v>0</v>
      </c>
      <c r="DJ35" s="159">
        <f t="shared" si="71"/>
        <v>102.468142</v>
      </c>
      <c r="DK35" s="260">
        <f t="shared" si="72"/>
        <v>99.69205500000001</v>
      </c>
      <c r="DL35" s="260">
        <f t="shared" si="73"/>
        <v>2.7760869999999898</v>
      </c>
      <c r="DM35" s="160">
        <f t="shared" si="74"/>
        <v>0</v>
      </c>
      <c r="DN35" s="151"/>
    </row>
    <row r="36" spans="2:124" s="33" customFormat="1" ht="12.75">
      <c r="B36" s="10" t="s">
        <v>30</v>
      </c>
      <c r="C36" s="38" t="s">
        <v>64</v>
      </c>
      <c r="D36" s="28">
        <v>0</v>
      </c>
      <c r="E36" s="6">
        <v>0</v>
      </c>
      <c r="F36" s="6">
        <v>0</v>
      </c>
      <c r="G36" s="6">
        <v>0</v>
      </c>
      <c r="H36" s="17">
        <f>SUM(E36:G36)</f>
        <v>0</v>
      </c>
      <c r="I36" s="28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17">
        <f>SUM(H36,J36:N36)</f>
        <v>0</v>
      </c>
      <c r="P36" s="29">
        <f aca="true" t="shared" si="82" ref="P36:P71">SUM(D36,E36,I36,J36)</f>
        <v>0</v>
      </c>
      <c r="Q36" s="27">
        <f t="shared" si="77"/>
        <v>0</v>
      </c>
      <c r="R36" s="92">
        <f t="shared" si="50"/>
        <v>0</v>
      </c>
      <c r="S36" s="28">
        <v>0</v>
      </c>
      <c r="T36" s="6">
        <v>0</v>
      </c>
      <c r="U36" s="6">
        <v>0</v>
      </c>
      <c r="V36" s="6">
        <v>0</v>
      </c>
      <c r="W36" s="17">
        <f>SUM(R36,T36:V36)</f>
        <v>0</v>
      </c>
      <c r="X36" s="28">
        <v>0</v>
      </c>
      <c r="Y36" s="6">
        <v>525</v>
      </c>
      <c r="Z36" s="6">
        <v>0</v>
      </c>
      <c r="AA36" s="6">
        <v>0</v>
      </c>
      <c r="AB36" s="17">
        <f t="shared" si="52"/>
        <v>525</v>
      </c>
      <c r="AC36" s="28">
        <v>0</v>
      </c>
      <c r="AD36" s="6">
        <v>0</v>
      </c>
      <c r="AE36" s="6">
        <v>0</v>
      </c>
      <c r="AF36" s="6">
        <v>0</v>
      </c>
      <c r="AG36" s="355">
        <f>SUM(AB36,AD36:AF36)</f>
        <v>525</v>
      </c>
      <c r="AH36" s="28">
        <v>0</v>
      </c>
      <c r="AI36" s="6">
        <v>-525</v>
      </c>
      <c r="AJ36" s="6">
        <v>0</v>
      </c>
      <c r="AK36" s="6">
        <v>0</v>
      </c>
      <c r="AL36" s="16">
        <f>SUM(AG36,AI36:AK36)</f>
        <v>0</v>
      </c>
      <c r="AM36" s="27">
        <v>0</v>
      </c>
      <c r="AN36" s="27">
        <v>0</v>
      </c>
      <c r="AO36" s="27">
        <v>0</v>
      </c>
      <c r="AP36" s="14">
        <f>SUM(AM36:AO36)</f>
        <v>0</v>
      </c>
      <c r="AQ36" s="29">
        <f>SUM(P36,S36,T36,V36,X36,Y36,AA36,AC36,AD36,AF36,AH36,AI36,AK36,AM36,AO36)</f>
        <v>0</v>
      </c>
      <c r="AR36" s="27">
        <f>SUM(Q36)+(S36+X36+AC36+AH36)+SUM((U36+Z36+AE36+AJ36+AN36)*-1)</f>
        <v>0</v>
      </c>
      <c r="AS36" s="27">
        <f>SUM(AQ36-AR36)-AP36</f>
        <v>0</v>
      </c>
      <c r="AT36" s="92">
        <f>SUM(AP36)</f>
        <v>0</v>
      </c>
      <c r="AU36" s="28">
        <v>0</v>
      </c>
      <c r="AV36" s="6">
        <v>0</v>
      </c>
      <c r="AW36" s="6">
        <v>0</v>
      </c>
      <c r="AX36" s="6">
        <v>0</v>
      </c>
      <c r="AY36" s="16">
        <f t="shared" si="58"/>
        <v>0</v>
      </c>
      <c r="AZ36" s="27">
        <v>0</v>
      </c>
      <c r="BA36" s="27">
        <v>0</v>
      </c>
      <c r="BB36" s="27">
        <v>0</v>
      </c>
      <c r="BC36" s="14">
        <f t="shared" si="59"/>
        <v>0</v>
      </c>
      <c r="BD36" s="166">
        <v>0</v>
      </c>
      <c r="BE36" s="151">
        <v>0</v>
      </c>
      <c r="BF36" s="151">
        <v>0</v>
      </c>
      <c r="BG36" s="151">
        <v>0</v>
      </c>
      <c r="BH36" s="284">
        <f t="shared" si="60"/>
        <v>0</v>
      </c>
      <c r="BI36" s="260">
        <v>0</v>
      </c>
      <c r="BJ36" s="260">
        <v>0</v>
      </c>
      <c r="BK36" s="260">
        <v>0</v>
      </c>
      <c r="BL36" s="162">
        <f t="shared" si="61"/>
        <v>0</v>
      </c>
      <c r="BM36" s="166">
        <v>0</v>
      </c>
      <c r="BN36" s="151">
        <v>0</v>
      </c>
      <c r="BO36" s="151">
        <v>0</v>
      </c>
      <c r="BP36" s="151">
        <v>0</v>
      </c>
      <c r="BQ36" s="284">
        <f t="shared" si="62"/>
        <v>0</v>
      </c>
      <c r="BR36" s="260">
        <v>0</v>
      </c>
      <c r="BS36" s="260">
        <v>0</v>
      </c>
      <c r="BT36" s="260">
        <v>0</v>
      </c>
      <c r="BU36" s="162">
        <f t="shared" si="63"/>
        <v>0</v>
      </c>
      <c r="BV36" s="166">
        <v>0</v>
      </c>
      <c r="BW36" s="151">
        <v>0</v>
      </c>
      <c r="BX36" s="151">
        <v>0</v>
      </c>
      <c r="BY36" s="151">
        <v>0</v>
      </c>
      <c r="BZ36" s="284">
        <f t="shared" si="64"/>
        <v>0</v>
      </c>
      <c r="CA36" s="260">
        <v>0</v>
      </c>
      <c r="CB36" s="260">
        <v>0</v>
      </c>
      <c r="CC36" s="260">
        <v>0</v>
      </c>
      <c r="CD36" s="162">
        <f t="shared" si="65"/>
        <v>0</v>
      </c>
      <c r="CE36" s="159">
        <f t="shared" si="66"/>
        <v>0</v>
      </c>
      <c r="CF36" s="260">
        <f t="shared" si="67"/>
        <v>0</v>
      </c>
      <c r="CG36" s="260">
        <f t="shared" si="68"/>
        <v>0</v>
      </c>
      <c r="CH36" s="160">
        <f t="shared" si="69"/>
        <v>0</v>
      </c>
      <c r="CI36" s="166">
        <v>0</v>
      </c>
      <c r="CJ36" s="151">
        <v>0</v>
      </c>
      <c r="CK36" s="151">
        <v>0</v>
      </c>
      <c r="CL36" s="151">
        <v>0</v>
      </c>
      <c r="CM36" s="284">
        <f aca="true" t="shared" si="83" ref="CM36:CM73">SUM(CG36,CJ36,CK36,CL36)</f>
        <v>0</v>
      </c>
      <c r="CN36" s="260">
        <v>0</v>
      </c>
      <c r="CO36" s="260">
        <v>0</v>
      </c>
      <c r="CP36" s="260">
        <v>0</v>
      </c>
      <c r="CQ36" s="162">
        <f t="shared" si="70"/>
        <v>0</v>
      </c>
      <c r="CR36" s="166">
        <v>0</v>
      </c>
      <c r="CS36" s="151">
        <v>0</v>
      </c>
      <c r="CT36" s="151">
        <v>0</v>
      </c>
      <c r="CU36" s="151">
        <v>0</v>
      </c>
      <c r="CV36" s="284">
        <f t="shared" si="78"/>
        <v>0</v>
      </c>
      <c r="CW36" s="260">
        <v>0</v>
      </c>
      <c r="CX36" s="260">
        <v>0</v>
      </c>
      <c r="CY36" s="260">
        <v>0</v>
      </c>
      <c r="CZ36" s="162">
        <f t="shared" si="79"/>
        <v>0</v>
      </c>
      <c r="DA36" s="166">
        <v>0</v>
      </c>
      <c r="DB36" s="151">
        <v>0</v>
      </c>
      <c r="DC36" s="151">
        <v>0</v>
      </c>
      <c r="DD36" s="151">
        <v>0</v>
      </c>
      <c r="DE36" s="284">
        <f t="shared" si="80"/>
        <v>0</v>
      </c>
      <c r="DF36" s="260">
        <v>0</v>
      </c>
      <c r="DG36" s="260">
        <v>0</v>
      </c>
      <c r="DH36" s="260">
        <v>0</v>
      </c>
      <c r="DI36" s="162">
        <f t="shared" si="81"/>
        <v>0</v>
      </c>
      <c r="DJ36" s="159">
        <f t="shared" si="71"/>
        <v>0</v>
      </c>
      <c r="DK36" s="260">
        <f t="shared" si="72"/>
        <v>0</v>
      </c>
      <c r="DL36" s="260">
        <f t="shared" si="73"/>
        <v>0</v>
      </c>
      <c r="DM36" s="160">
        <f t="shared" si="74"/>
        <v>0</v>
      </c>
      <c r="DN36" s="151"/>
      <c r="DO36" s="38"/>
      <c r="DP36" s="38"/>
      <c r="DQ36" s="38"/>
      <c r="DR36" s="38"/>
      <c r="DS36" s="38"/>
      <c r="DT36" s="38"/>
    </row>
    <row r="37" spans="2:124" s="33" customFormat="1" ht="12.75">
      <c r="B37" s="10" t="s">
        <v>30</v>
      </c>
      <c r="C37" s="38" t="s">
        <v>65</v>
      </c>
      <c r="D37" s="28">
        <v>0</v>
      </c>
      <c r="E37" s="6">
        <v>0</v>
      </c>
      <c r="F37" s="6">
        <v>0</v>
      </c>
      <c r="G37" s="6">
        <v>0</v>
      </c>
      <c r="H37" s="17">
        <f>SUM(E37:G37)</f>
        <v>0</v>
      </c>
      <c r="I37" s="28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17">
        <f>SUM(H37,J37:N37)</f>
        <v>0</v>
      </c>
      <c r="P37" s="29">
        <f t="shared" si="82"/>
        <v>0</v>
      </c>
      <c r="Q37" s="27">
        <f t="shared" si="77"/>
        <v>0</v>
      </c>
      <c r="R37" s="92">
        <f t="shared" si="50"/>
        <v>0</v>
      </c>
      <c r="S37" s="28">
        <v>0</v>
      </c>
      <c r="T37" s="6">
        <v>0</v>
      </c>
      <c r="U37" s="6">
        <v>0</v>
      </c>
      <c r="V37" s="6">
        <v>0</v>
      </c>
      <c r="W37" s="17">
        <f>SUM(R37,T37:V37)</f>
        <v>0</v>
      </c>
      <c r="X37" s="28">
        <v>0</v>
      </c>
      <c r="Y37" s="6">
        <v>25</v>
      </c>
      <c r="Z37" s="6">
        <v>0</v>
      </c>
      <c r="AA37" s="6">
        <v>0</v>
      </c>
      <c r="AB37" s="17">
        <f t="shared" si="52"/>
        <v>25</v>
      </c>
      <c r="AC37" s="28">
        <v>0</v>
      </c>
      <c r="AD37" s="6">
        <v>0</v>
      </c>
      <c r="AE37" s="6">
        <v>0</v>
      </c>
      <c r="AF37" s="6">
        <v>0</v>
      </c>
      <c r="AG37" s="355">
        <f>SUM(AB37,AD37:AF37)</f>
        <v>25</v>
      </c>
      <c r="AH37" s="28">
        <v>0</v>
      </c>
      <c r="AI37" s="6">
        <v>-25</v>
      </c>
      <c r="AJ37" s="6">
        <v>0</v>
      </c>
      <c r="AK37" s="6">
        <v>0</v>
      </c>
      <c r="AL37" s="16">
        <f>SUM(AG37,AI37:AK37)</f>
        <v>0</v>
      </c>
      <c r="AM37" s="27">
        <v>0</v>
      </c>
      <c r="AN37" s="27">
        <v>0</v>
      </c>
      <c r="AO37" s="27">
        <v>0</v>
      </c>
      <c r="AP37" s="14">
        <f>SUM(AM37:AO37)</f>
        <v>0</v>
      </c>
      <c r="AQ37" s="29">
        <f>SUM(P37,S37,T37,V37,X37,Y37,AA37,AC37,AD37,AF37,AH37,AI37,AK37,AM37,AO37)</f>
        <v>0</v>
      </c>
      <c r="AR37" s="27">
        <f>SUM(Q37)+(S37+X37+AC37+AH37)+SUM((U37+Z37+AE37+AJ37+AN37)*-1)</f>
        <v>0</v>
      </c>
      <c r="AS37" s="27">
        <f>SUM(AQ37-AR37)</f>
        <v>0</v>
      </c>
      <c r="AT37" s="92">
        <f>SUM(AP37)</f>
        <v>0</v>
      </c>
      <c r="AU37" s="28">
        <v>0</v>
      </c>
      <c r="AV37" s="6">
        <v>0</v>
      </c>
      <c r="AW37" s="6">
        <v>0</v>
      </c>
      <c r="AX37" s="6">
        <v>0</v>
      </c>
      <c r="AY37" s="16">
        <f t="shared" si="58"/>
        <v>0</v>
      </c>
      <c r="AZ37" s="27">
        <v>0</v>
      </c>
      <c r="BA37" s="27">
        <v>0</v>
      </c>
      <c r="BB37" s="27">
        <v>0</v>
      </c>
      <c r="BC37" s="14">
        <f t="shared" si="59"/>
        <v>0</v>
      </c>
      <c r="BD37" s="166">
        <v>0</v>
      </c>
      <c r="BE37" s="151">
        <v>0</v>
      </c>
      <c r="BF37" s="151">
        <v>0</v>
      </c>
      <c r="BG37" s="151">
        <v>0</v>
      </c>
      <c r="BH37" s="284">
        <f t="shared" si="60"/>
        <v>0</v>
      </c>
      <c r="BI37" s="260">
        <v>0</v>
      </c>
      <c r="BJ37" s="260">
        <v>0</v>
      </c>
      <c r="BK37" s="260">
        <v>0</v>
      </c>
      <c r="BL37" s="162">
        <f t="shared" si="61"/>
        <v>0</v>
      </c>
      <c r="BM37" s="166">
        <v>0</v>
      </c>
      <c r="BN37" s="151">
        <v>0</v>
      </c>
      <c r="BO37" s="151">
        <v>0</v>
      </c>
      <c r="BP37" s="151">
        <v>0</v>
      </c>
      <c r="BQ37" s="284">
        <f t="shared" si="62"/>
        <v>0</v>
      </c>
      <c r="BR37" s="260">
        <v>0</v>
      </c>
      <c r="BS37" s="260">
        <v>0</v>
      </c>
      <c r="BT37" s="260">
        <v>0</v>
      </c>
      <c r="BU37" s="162">
        <f t="shared" si="63"/>
        <v>0</v>
      </c>
      <c r="BV37" s="166">
        <v>0</v>
      </c>
      <c r="BW37" s="151">
        <v>0</v>
      </c>
      <c r="BX37" s="151">
        <v>0</v>
      </c>
      <c r="BY37" s="151">
        <v>0</v>
      </c>
      <c r="BZ37" s="284">
        <f t="shared" si="64"/>
        <v>0</v>
      </c>
      <c r="CA37" s="260">
        <v>0</v>
      </c>
      <c r="CB37" s="260">
        <v>0</v>
      </c>
      <c r="CC37" s="260">
        <v>0</v>
      </c>
      <c r="CD37" s="162">
        <f t="shared" si="65"/>
        <v>0</v>
      </c>
      <c r="CE37" s="159">
        <f t="shared" si="66"/>
        <v>0</v>
      </c>
      <c r="CF37" s="260">
        <f t="shared" si="67"/>
        <v>0</v>
      </c>
      <c r="CG37" s="260">
        <f t="shared" si="68"/>
        <v>0</v>
      </c>
      <c r="CH37" s="160">
        <f t="shared" si="69"/>
        <v>0</v>
      </c>
      <c r="CI37" s="166">
        <v>0</v>
      </c>
      <c r="CJ37" s="151">
        <v>0</v>
      </c>
      <c r="CK37" s="151">
        <v>0</v>
      </c>
      <c r="CL37" s="151">
        <v>0</v>
      </c>
      <c r="CM37" s="284">
        <f t="shared" si="83"/>
        <v>0</v>
      </c>
      <c r="CN37" s="260">
        <v>0</v>
      </c>
      <c r="CO37" s="260">
        <v>0</v>
      </c>
      <c r="CP37" s="260">
        <v>0</v>
      </c>
      <c r="CQ37" s="162">
        <f t="shared" si="70"/>
        <v>0</v>
      </c>
      <c r="CR37" s="166">
        <v>0</v>
      </c>
      <c r="CS37" s="151">
        <v>0</v>
      </c>
      <c r="CT37" s="151">
        <v>0</v>
      </c>
      <c r="CU37" s="151">
        <v>0</v>
      </c>
      <c r="CV37" s="284">
        <f t="shared" si="78"/>
        <v>0</v>
      </c>
      <c r="CW37" s="260">
        <v>0</v>
      </c>
      <c r="CX37" s="260">
        <v>0</v>
      </c>
      <c r="CY37" s="260">
        <v>0</v>
      </c>
      <c r="CZ37" s="162">
        <f t="shared" si="79"/>
        <v>0</v>
      </c>
      <c r="DA37" s="166">
        <v>0</v>
      </c>
      <c r="DB37" s="151">
        <v>0</v>
      </c>
      <c r="DC37" s="151">
        <v>0</v>
      </c>
      <c r="DD37" s="151">
        <v>0</v>
      </c>
      <c r="DE37" s="284">
        <f t="shared" si="80"/>
        <v>0</v>
      </c>
      <c r="DF37" s="260">
        <v>0</v>
      </c>
      <c r="DG37" s="260">
        <v>0</v>
      </c>
      <c r="DH37" s="260">
        <v>0</v>
      </c>
      <c r="DI37" s="162">
        <f t="shared" si="81"/>
        <v>0</v>
      </c>
      <c r="DJ37" s="159">
        <f t="shared" si="71"/>
        <v>0</v>
      </c>
      <c r="DK37" s="260">
        <f t="shared" si="72"/>
        <v>0</v>
      </c>
      <c r="DL37" s="260">
        <f t="shared" si="73"/>
        <v>0</v>
      </c>
      <c r="DM37" s="160">
        <f t="shared" si="74"/>
        <v>0</v>
      </c>
      <c r="DN37" s="151"/>
      <c r="DO37" s="38"/>
      <c r="DP37" s="38"/>
      <c r="DQ37" s="38"/>
      <c r="DR37" s="38"/>
      <c r="DS37" s="38"/>
      <c r="DT37" s="38"/>
    </row>
    <row r="38" spans="2:124" s="33" customFormat="1" ht="12.75">
      <c r="B38" s="10" t="s">
        <v>30</v>
      </c>
      <c r="C38" s="38" t="s">
        <v>66</v>
      </c>
      <c r="D38" s="28">
        <v>0</v>
      </c>
      <c r="E38" s="6">
        <v>0</v>
      </c>
      <c r="F38" s="6">
        <v>0</v>
      </c>
      <c r="G38" s="6">
        <v>0</v>
      </c>
      <c r="H38" s="17">
        <f>SUM(E38:G38)</f>
        <v>0</v>
      </c>
      <c r="I38" s="28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17">
        <f>SUM(H38,J38:N38)</f>
        <v>0</v>
      </c>
      <c r="P38" s="29">
        <f t="shared" si="82"/>
        <v>0</v>
      </c>
      <c r="Q38" s="27">
        <f t="shared" si="77"/>
        <v>0</v>
      </c>
      <c r="R38" s="92">
        <f t="shared" si="50"/>
        <v>0</v>
      </c>
      <c r="S38" s="28">
        <v>0</v>
      </c>
      <c r="T38" s="6">
        <v>0</v>
      </c>
      <c r="U38" s="6">
        <v>0</v>
      </c>
      <c r="V38" s="6">
        <v>0</v>
      </c>
      <c r="W38" s="17">
        <f>SUM(R38,T38:V38)</f>
        <v>0</v>
      </c>
      <c r="X38" s="28">
        <v>0</v>
      </c>
      <c r="Y38" s="6">
        <v>0</v>
      </c>
      <c r="Z38" s="6">
        <v>0</v>
      </c>
      <c r="AA38" s="6">
        <v>0</v>
      </c>
      <c r="AB38" s="17">
        <f t="shared" si="52"/>
        <v>0</v>
      </c>
      <c r="AC38" s="28">
        <v>0</v>
      </c>
      <c r="AD38" s="6">
        <v>0</v>
      </c>
      <c r="AE38" s="6">
        <v>0</v>
      </c>
      <c r="AF38" s="6">
        <v>0</v>
      </c>
      <c r="AG38" s="355">
        <f>SUM(AB38,AD38:AF38)</f>
        <v>0</v>
      </c>
      <c r="AH38" s="28">
        <v>0</v>
      </c>
      <c r="AI38" s="6">
        <v>3843.8</v>
      </c>
      <c r="AJ38" s="6">
        <v>0</v>
      </c>
      <c r="AK38" s="6">
        <v>4.8</v>
      </c>
      <c r="AL38" s="16">
        <f>SUM(AG38,AI38:AK38)</f>
        <v>3848.6000000000004</v>
      </c>
      <c r="AM38" s="27">
        <v>0</v>
      </c>
      <c r="AN38" s="27">
        <v>0</v>
      </c>
      <c r="AO38" s="27">
        <v>0</v>
      </c>
      <c r="AP38" s="14">
        <f>SUM(AM38:AO38)</f>
        <v>0</v>
      </c>
      <c r="AQ38" s="29">
        <f>SUM(P38,S38,T38,V38,X38,Y38,AA38,AC38,AD38,AF38,AH38,AI38,AK38,AM38,AO38)</f>
        <v>3848.6000000000004</v>
      </c>
      <c r="AR38" s="27">
        <f>SUM(Q38)+(S38+X38+AC38+AH38)+SUM((U38+Z38+AE38+AJ38+AN38)*-1)</f>
        <v>0</v>
      </c>
      <c r="AS38" s="27">
        <f>SUM(AQ38-AR38)-AP38</f>
        <v>3848.6000000000004</v>
      </c>
      <c r="AT38" s="92">
        <f>SUM(AP38)</f>
        <v>0</v>
      </c>
      <c r="AU38" s="28">
        <v>0</v>
      </c>
      <c r="AV38" s="6">
        <v>0</v>
      </c>
      <c r="AW38" s="6">
        <v>0</v>
      </c>
      <c r="AX38" s="6">
        <v>-3848.6</v>
      </c>
      <c r="AY38" s="16">
        <f t="shared" si="58"/>
        <v>0</v>
      </c>
      <c r="AZ38" s="27">
        <v>3848.58</v>
      </c>
      <c r="BA38" s="27">
        <v>-356</v>
      </c>
      <c r="BB38" s="27">
        <v>9.56</v>
      </c>
      <c r="BC38" s="14">
        <f t="shared" si="59"/>
        <v>3502.14</v>
      </c>
      <c r="BD38" s="166">
        <v>0</v>
      </c>
      <c r="BE38" s="151">
        <v>0</v>
      </c>
      <c r="BF38" s="151">
        <v>0</v>
      </c>
      <c r="BG38" s="151">
        <v>0</v>
      </c>
      <c r="BH38" s="284">
        <f t="shared" si="60"/>
        <v>0</v>
      </c>
      <c r="BI38" s="260">
        <v>0</v>
      </c>
      <c r="BJ38" s="260">
        <v>-5</v>
      </c>
      <c r="BK38" s="260">
        <v>9.25</v>
      </c>
      <c r="BL38" s="162">
        <f>SUM(BC38,BI38,BJ38,BK38)</f>
        <v>3506.39</v>
      </c>
      <c r="BM38" s="166">
        <v>0</v>
      </c>
      <c r="BN38" s="151">
        <v>0</v>
      </c>
      <c r="BO38" s="151">
        <v>0</v>
      </c>
      <c r="BP38" s="151">
        <v>0</v>
      </c>
      <c r="BQ38" s="284">
        <f t="shared" si="62"/>
        <v>0</v>
      </c>
      <c r="BR38" s="260">
        <v>0</v>
      </c>
      <c r="BS38" s="260">
        <v>0</v>
      </c>
      <c r="BT38" s="260">
        <v>9.27</v>
      </c>
      <c r="BU38" s="162">
        <f>SUM(BL38,BR38,BS38,BT38)</f>
        <v>3515.66</v>
      </c>
      <c r="BV38" s="166">
        <v>0</v>
      </c>
      <c r="BW38" s="151">
        <v>0</v>
      </c>
      <c r="BX38" s="151">
        <v>0</v>
      </c>
      <c r="BY38" s="151">
        <v>0</v>
      </c>
      <c r="BZ38" s="284">
        <f t="shared" si="64"/>
        <v>0</v>
      </c>
      <c r="CA38" s="260">
        <v>0</v>
      </c>
      <c r="CB38" s="260">
        <v>0</v>
      </c>
      <c r="CC38" s="260">
        <v>9.3</v>
      </c>
      <c r="CD38" s="162">
        <f>SUM(BU38,CA38,CB38,CC38)</f>
        <v>3524.96</v>
      </c>
      <c r="CE38" s="159">
        <f>SUM(AZ38+BB38+BI38,BK38,BR38,BT38,CA38,CC38)</f>
        <v>3885.96</v>
      </c>
      <c r="CF38" s="260">
        <f>SUM(AR38-AW38-BA38-BF38-BJ38-BO38-BS38-BX38-CB38)</f>
        <v>361</v>
      </c>
      <c r="CG38" s="260">
        <v>0</v>
      </c>
      <c r="CH38" s="160">
        <f>SUM(CE38-CF38)</f>
        <v>3524.96</v>
      </c>
      <c r="CI38" s="166">
        <v>0</v>
      </c>
      <c r="CJ38" s="151">
        <v>0</v>
      </c>
      <c r="CK38" s="151">
        <v>0</v>
      </c>
      <c r="CL38" s="151">
        <v>0</v>
      </c>
      <c r="CM38" s="284">
        <f t="shared" si="83"/>
        <v>0</v>
      </c>
      <c r="CN38" s="260">
        <v>0</v>
      </c>
      <c r="CO38" s="260">
        <v>-565</v>
      </c>
      <c r="CP38" s="260">
        <v>8.89</v>
      </c>
      <c r="CQ38" s="162">
        <f>SUM(CH38,CN38,CO38,CP38)</f>
        <v>2968.85</v>
      </c>
      <c r="CR38" s="166">
        <v>0</v>
      </c>
      <c r="CS38" s="151">
        <v>0</v>
      </c>
      <c r="CT38" s="151">
        <v>0</v>
      </c>
      <c r="CU38" s="151">
        <v>0</v>
      </c>
      <c r="CV38" s="284">
        <f t="shared" si="78"/>
        <v>0</v>
      </c>
      <c r="CW38" s="260">
        <v>0</v>
      </c>
      <c r="CX38" s="260">
        <v>0</v>
      </c>
      <c r="CY38" s="260">
        <v>8.695</v>
      </c>
      <c r="CZ38" s="162">
        <f t="shared" si="79"/>
        <v>2977.545</v>
      </c>
      <c r="DA38" s="166">
        <v>0</v>
      </c>
      <c r="DB38" s="151">
        <v>0</v>
      </c>
      <c r="DC38" s="151">
        <v>0</v>
      </c>
      <c r="DD38" s="151">
        <v>0</v>
      </c>
      <c r="DE38" s="284">
        <f t="shared" si="80"/>
        <v>0</v>
      </c>
      <c r="DF38" s="260">
        <v>0</v>
      </c>
      <c r="DG38" s="260">
        <v>0</v>
      </c>
      <c r="DH38" s="260">
        <v>8.723</v>
      </c>
      <c r="DI38" s="162">
        <f t="shared" si="81"/>
        <v>2986.268</v>
      </c>
      <c r="DJ38" s="159">
        <f t="shared" si="71"/>
        <v>3912.268</v>
      </c>
      <c r="DK38" s="260">
        <f t="shared" si="72"/>
        <v>926</v>
      </c>
      <c r="DL38" s="260">
        <v>0</v>
      </c>
      <c r="DM38" s="160">
        <f t="shared" si="74"/>
        <v>2986.268</v>
      </c>
      <c r="DN38" s="151"/>
      <c r="DO38" s="38"/>
      <c r="DP38" s="38"/>
      <c r="DQ38" s="38"/>
      <c r="DR38" s="38"/>
      <c r="DS38" s="38"/>
      <c r="DT38" s="38"/>
    </row>
    <row r="39" spans="2:118" s="38" customFormat="1" ht="12.75">
      <c r="B39" s="10" t="s">
        <v>30</v>
      </c>
      <c r="C39" s="38" t="s">
        <v>31</v>
      </c>
      <c r="D39" s="28">
        <v>0</v>
      </c>
      <c r="E39" s="6">
        <v>0</v>
      </c>
      <c r="F39" s="6">
        <v>0</v>
      </c>
      <c r="G39" s="6">
        <v>0</v>
      </c>
      <c r="H39" s="17">
        <f t="shared" si="9"/>
        <v>0</v>
      </c>
      <c r="I39" s="28">
        <v>0</v>
      </c>
      <c r="J39" s="6">
        <v>1.7</v>
      </c>
      <c r="K39" s="6">
        <v>-1.7</v>
      </c>
      <c r="L39" s="6">
        <v>0</v>
      </c>
      <c r="M39" s="6">
        <v>0</v>
      </c>
      <c r="N39" s="6">
        <v>0</v>
      </c>
      <c r="O39" s="17">
        <f t="shared" si="10"/>
        <v>0</v>
      </c>
      <c r="P39" s="29">
        <f t="shared" si="82"/>
        <v>1.7</v>
      </c>
      <c r="Q39" s="27">
        <f t="shared" si="77"/>
        <v>1.7</v>
      </c>
      <c r="R39" s="92">
        <f t="shared" si="50"/>
        <v>0</v>
      </c>
      <c r="S39" s="28">
        <v>0</v>
      </c>
      <c r="T39" s="6">
        <v>0</v>
      </c>
      <c r="U39" s="6">
        <v>0</v>
      </c>
      <c r="V39" s="6">
        <v>0</v>
      </c>
      <c r="W39" s="17">
        <f t="shared" si="51"/>
        <v>0</v>
      </c>
      <c r="X39" s="28">
        <v>0</v>
      </c>
      <c r="Y39" s="6">
        <v>0</v>
      </c>
      <c r="Z39" s="6">
        <v>0</v>
      </c>
      <c r="AA39" s="6">
        <v>0</v>
      </c>
      <c r="AB39" s="17">
        <f t="shared" si="52"/>
        <v>0</v>
      </c>
      <c r="AC39" s="28">
        <v>0</v>
      </c>
      <c r="AD39" s="6">
        <v>0</v>
      </c>
      <c r="AE39" s="6">
        <v>0</v>
      </c>
      <c r="AF39" s="6">
        <v>0</v>
      </c>
      <c r="AG39" s="355">
        <f t="shared" si="53"/>
        <v>0</v>
      </c>
      <c r="AH39" s="28">
        <v>0</v>
      </c>
      <c r="AI39" s="6">
        <v>0</v>
      </c>
      <c r="AJ39" s="6">
        <v>0</v>
      </c>
      <c r="AK39" s="6">
        <v>0</v>
      </c>
      <c r="AL39" s="16">
        <f t="shared" si="75"/>
        <v>0</v>
      </c>
      <c r="AM39" s="27">
        <v>0</v>
      </c>
      <c r="AN39" s="27">
        <v>0</v>
      </c>
      <c r="AO39" s="27">
        <v>0</v>
      </c>
      <c r="AP39" s="14">
        <f t="shared" si="76"/>
        <v>0</v>
      </c>
      <c r="AQ39" s="29">
        <f t="shared" si="54"/>
        <v>1.7</v>
      </c>
      <c r="AR39" s="27">
        <f t="shared" si="55"/>
        <v>1.7</v>
      </c>
      <c r="AS39" s="27">
        <f t="shared" si="56"/>
        <v>0</v>
      </c>
      <c r="AT39" s="92">
        <f t="shared" si="57"/>
        <v>0</v>
      </c>
      <c r="AU39" s="28">
        <v>0</v>
      </c>
      <c r="AV39" s="6">
        <v>0</v>
      </c>
      <c r="AW39" s="6">
        <v>0</v>
      </c>
      <c r="AX39" s="6">
        <v>0</v>
      </c>
      <c r="AY39" s="16">
        <f t="shared" si="58"/>
        <v>0</v>
      </c>
      <c r="AZ39" s="27">
        <v>0</v>
      </c>
      <c r="BA39" s="27">
        <v>0</v>
      </c>
      <c r="BB39" s="27">
        <v>0</v>
      </c>
      <c r="BC39" s="14">
        <f t="shared" si="59"/>
        <v>0</v>
      </c>
      <c r="BD39" s="166">
        <v>0</v>
      </c>
      <c r="BE39" s="151">
        <v>0</v>
      </c>
      <c r="BF39" s="151">
        <v>0</v>
      </c>
      <c r="BG39" s="151">
        <v>0</v>
      </c>
      <c r="BH39" s="284">
        <f t="shared" si="60"/>
        <v>0</v>
      </c>
      <c r="BI39" s="260">
        <v>0</v>
      </c>
      <c r="BJ39" s="260">
        <v>0</v>
      </c>
      <c r="BK39" s="260">
        <v>0</v>
      </c>
      <c r="BL39" s="162">
        <f t="shared" si="61"/>
        <v>0</v>
      </c>
      <c r="BM39" s="166">
        <v>0</v>
      </c>
      <c r="BN39" s="151">
        <v>0</v>
      </c>
      <c r="BO39" s="151">
        <v>0</v>
      </c>
      <c r="BP39" s="151">
        <v>0</v>
      </c>
      <c r="BQ39" s="284">
        <f t="shared" si="62"/>
        <v>0</v>
      </c>
      <c r="BR39" s="260">
        <v>0</v>
      </c>
      <c r="BS39" s="260">
        <v>0</v>
      </c>
      <c r="BT39" s="260">
        <v>0</v>
      </c>
      <c r="BU39" s="162">
        <f aca="true" t="shared" si="84" ref="BU39:BU63">SUM(BR39:BT39)</f>
        <v>0</v>
      </c>
      <c r="BV39" s="166">
        <v>0</v>
      </c>
      <c r="BW39" s="151">
        <v>0</v>
      </c>
      <c r="BX39" s="151">
        <v>0</v>
      </c>
      <c r="BY39" s="151">
        <v>0</v>
      </c>
      <c r="BZ39" s="284">
        <f t="shared" si="64"/>
        <v>0</v>
      </c>
      <c r="CA39" s="260">
        <v>0</v>
      </c>
      <c r="CB39" s="260">
        <v>0</v>
      </c>
      <c r="CC39" s="260">
        <v>0</v>
      </c>
      <c r="CD39" s="162">
        <f aca="true" t="shared" si="85" ref="CD39:CD63">SUM(CA39:CC39)</f>
        <v>0</v>
      </c>
      <c r="CE39" s="159">
        <f aca="true" t="shared" si="86" ref="CE39:CE63">SUM(AQ39,AU39,AV39,AX39,BD39,BE39,BG39,BM39,BN39,BP39,BV39,BW39,BY39)</f>
        <v>1.7</v>
      </c>
      <c r="CF39" s="260">
        <f aca="true" t="shared" si="87" ref="CF39:CF63">SUM(AR39-AW39-BF39-BO39-BX39)</f>
        <v>1.7</v>
      </c>
      <c r="CG39" s="260">
        <f aca="true" t="shared" si="88" ref="CG39:CG63">SUM(CE39-CF39)</f>
        <v>0</v>
      </c>
      <c r="CH39" s="160">
        <f t="shared" si="69"/>
        <v>0</v>
      </c>
      <c r="CI39" s="166">
        <v>0</v>
      </c>
      <c r="CJ39" s="151">
        <v>0</v>
      </c>
      <c r="CK39" s="151">
        <v>0</v>
      </c>
      <c r="CL39" s="151">
        <v>0</v>
      </c>
      <c r="CM39" s="284">
        <f t="shared" si="83"/>
        <v>0</v>
      </c>
      <c r="CN39" s="260">
        <v>0</v>
      </c>
      <c r="CO39" s="260">
        <v>0</v>
      </c>
      <c r="CP39" s="260">
        <v>0</v>
      </c>
      <c r="CQ39" s="162">
        <f aca="true" t="shared" si="89" ref="CQ39:CQ63">SUM(CN39:CP39)</f>
        <v>0</v>
      </c>
      <c r="CR39" s="166">
        <v>0</v>
      </c>
      <c r="CS39" s="151">
        <v>0</v>
      </c>
      <c r="CT39" s="151">
        <v>0</v>
      </c>
      <c r="CU39" s="151">
        <v>0</v>
      </c>
      <c r="CV39" s="284">
        <f t="shared" si="78"/>
        <v>0</v>
      </c>
      <c r="CW39" s="260">
        <v>0</v>
      </c>
      <c r="CX39" s="260">
        <v>0</v>
      </c>
      <c r="CY39" s="260">
        <v>0</v>
      </c>
      <c r="CZ39" s="162">
        <f t="shared" si="79"/>
        <v>0</v>
      </c>
      <c r="DA39" s="166">
        <v>0</v>
      </c>
      <c r="DB39" s="151">
        <v>0</v>
      </c>
      <c r="DC39" s="151">
        <v>0</v>
      </c>
      <c r="DD39" s="151">
        <v>0</v>
      </c>
      <c r="DE39" s="284">
        <f t="shared" si="80"/>
        <v>0</v>
      </c>
      <c r="DF39" s="260">
        <v>0</v>
      </c>
      <c r="DG39" s="260">
        <v>0</v>
      </c>
      <c r="DH39" s="260">
        <v>0</v>
      </c>
      <c r="DI39" s="162">
        <f t="shared" si="81"/>
        <v>0</v>
      </c>
      <c r="DJ39" s="159">
        <f t="shared" si="71"/>
        <v>1.7</v>
      </c>
      <c r="DK39" s="260">
        <f t="shared" si="72"/>
        <v>1.7</v>
      </c>
      <c r="DL39" s="260">
        <f aca="true" t="shared" si="90" ref="DL39:DL63">SUM(DJ39-DK39)</f>
        <v>0</v>
      </c>
      <c r="DM39" s="160">
        <f t="shared" si="74"/>
        <v>0</v>
      </c>
      <c r="DN39" s="151"/>
    </row>
    <row r="40" spans="2:118" s="38" customFormat="1" ht="12.75">
      <c r="B40" s="10" t="s">
        <v>30</v>
      </c>
      <c r="C40" s="38" t="s">
        <v>99</v>
      </c>
      <c r="D40" s="28">
        <v>0</v>
      </c>
      <c r="E40" s="6">
        <v>0</v>
      </c>
      <c r="F40" s="6">
        <v>0</v>
      </c>
      <c r="G40" s="6">
        <v>0</v>
      </c>
      <c r="H40" s="17">
        <f t="shared" si="9"/>
        <v>0</v>
      </c>
      <c r="I40" s="28">
        <v>0</v>
      </c>
      <c r="J40" s="6">
        <v>1</v>
      </c>
      <c r="K40" s="6">
        <v>-1</v>
      </c>
      <c r="L40" s="6">
        <v>0</v>
      </c>
      <c r="M40" s="6">
        <v>0</v>
      </c>
      <c r="N40" s="6">
        <v>0</v>
      </c>
      <c r="O40" s="17">
        <f t="shared" si="10"/>
        <v>0</v>
      </c>
      <c r="P40" s="12">
        <f t="shared" si="82"/>
        <v>1</v>
      </c>
      <c r="Q40" s="13">
        <f t="shared" si="77"/>
        <v>1</v>
      </c>
      <c r="R40" s="34">
        <f t="shared" si="50"/>
        <v>0</v>
      </c>
      <c r="S40" s="63">
        <v>0</v>
      </c>
      <c r="T40" s="64">
        <v>0</v>
      </c>
      <c r="U40" s="64">
        <v>0</v>
      </c>
      <c r="V40" s="64">
        <v>0</v>
      </c>
      <c r="W40" s="65">
        <f t="shared" si="51"/>
        <v>0</v>
      </c>
      <c r="X40" s="63">
        <v>0</v>
      </c>
      <c r="Y40" s="64">
        <v>0</v>
      </c>
      <c r="Z40" s="64">
        <v>0</v>
      </c>
      <c r="AA40" s="64">
        <v>0</v>
      </c>
      <c r="AB40" s="65">
        <f t="shared" si="52"/>
        <v>0</v>
      </c>
      <c r="AC40" s="63">
        <v>0</v>
      </c>
      <c r="AD40" s="6">
        <v>0</v>
      </c>
      <c r="AE40" s="6">
        <v>0</v>
      </c>
      <c r="AF40" s="64">
        <v>0</v>
      </c>
      <c r="AG40" s="100">
        <f t="shared" si="53"/>
        <v>0</v>
      </c>
      <c r="AH40" s="63">
        <v>0</v>
      </c>
      <c r="AI40" s="64">
        <v>0</v>
      </c>
      <c r="AJ40" s="64">
        <v>0</v>
      </c>
      <c r="AK40" s="64">
        <v>0</v>
      </c>
      <c r="AL40" s="70">
        <f t="shared" si="75"/>
        <v>0</v>
      </c>
      <c r="AM40" s="58">
        <v>0</v>
      </c>
      <c r="AN40" s="58">
        <v>0</v>
      </c>
      <c r="AO40" s="58">
        <v>0</v>
      </c>
      <c r="AP40" s="59">
        <f t="shared" si="76"/>
        <v>0</v>
      </c>
      <c r="AQ40" s="57">
        <f t="shared" si="54"/>
        <v>1</v>
      </c>
      <c r="AR40" s="58">
        <f t="shared" si="55"/>
        <v>1</v>
      </c>
      <c r="AS40" s="58">
        <f t="shared" si="56"/>
        <v>0</v>
      </c>
      <c r="AT40" s="92">
        <f t="shared" si="57"/>
        <v>0</v>
      </c>
      <c r="AU40" s="63">
        <v>0</v>
      </c>
      <c r="AV40" s="64">
        <v>0</v>
      </c>
      <c r="AW40" s="6">
        <v>0</v>
      </c>
      <c r="AX40" s="64">
        <v>0</v>
      </c>
      <c r="AY40" s="16">
        <f t="shared" si="58"/>
        <v>0</v>
      </c>
      <c r="AZ40" s="58">
        <v>0</v>
      </c>
      <c r="BA40" s="58">
        <v>0</v>
      </c>
      <c r="BB40" s="58">
        <v>0</v>
      </c>
      <c r="BC40" s="59">
        <f t="shared" si="59"/>
        <v>0</v>
      </c>
      <c r="BD40" s="271">
        <v>0</v>
      </c>
      <c r="BE40" s="151">
        <v>0</v>
      </c>
      <c r="BF40" s="151">
        <v>0</v>
      </c>
      <c r="BG40" s="151">
        <v>0</v>
      </c>
      <c r="BH40" s="284">
        <f t="shared" si="60"/>
        <v>0</v>
      </c>
      <c r="BI40" s="157">
        <v>0</v>
      </c>
      <c r="BJ40" s="157">
        <v>0</v>
      </c>
      <c r="BK40" s="157">
        <v>0</v>
      </c>
      <c r="BL40" s="259">
        <f t="shared" si="61"/>
        <v>0</v>
      </c>
      <c r="BM40" s="271">
        <v>0</v>
      </c>
      <c r="BN40" s="151">
        <v>0</v>
      </c>
      <c r="BO40" s="151">
        <v>0</v>
      </c>
      <c r="BP40" s="151">
        <v>0</v>
      </c>
      <c r="BQ40" s="284">
        <f t="shared" si="62"/>
        <v>0</v>
      </c>
      <c r="BR40" s="157">
        <v>0</v>
      </c>
      <c r="BS40" s="157">
        <v>0</v>
      </c>
      <c r="BT40" s="157">
        <v>0</v>
      </c>
      <c r="BU40" s="259">
        <f t="shared" si="84"/>
        <v>0</v>
      </c>
      <c r="BV40" s="166">
        <v>0</v>
      </c>
      <c r="BW40" s="151">
        <v>0</v>
      </c>
      <c r="BX40" s="151">
        <v>0</v>
      </c>
      <c r="BY40" s="151">
        <v>0</v>
      </c>
      <c r="BZ40" s="284">
        <f t="shared" si="64"/>
        <v>0</v>
      </c>
      <c r="CA40" s="260">
        <v>0</v>
      </c>
      <c r="CB40" s="260">
        <v>0</v>
      </c>
      <c r="CC40" s="260">
        <v>0</v>
      </c>
      <c r="CD40" s="162">
        <f t="shared" si="85"/>
        <v>0</v>
      </c>
      <c r="CE40" s="257">
        <f t="shared" si="86"/>
        <v>1</v>
      </c>
      <c r="CF40" s="157">
        <f t="shared" si="87"/>
        <v>1</v>
      </c>
      <c r="CG40" s="157">
        <f t="shared" si="88"/>
        <v>0</v>
      </c>
      <c r="CH40" s="160">
        <f t="shared" si="69"/>
        <v>0</v>
      </c>
      <c r="CI40" s="166">
        <v>0</v>
      </c>
      <c r="CJ40" s="151">
        <v>0</v>
      </c>
      <c r="CK40" s="151">
        <v>0</v>
      </c>
      <c r="CL40" s="151">
        <v>0</v>
      </c>
      <c r="CM40" s="284">
        <f t="shared" si="83"/>
        <v>0</v>
      </c>
      <c r="CN40" s="260">
        <v>0</v>
      </c>
      <c r="CO40" s="260">
        <v>0</v>
      </c>
      <c r="CP40" s="260">
        <v>0</v>
      </c>
      <c r="CQ40" s="162">
        <f t="shared" si="89"/>
        <v>0</v>
      </c>
      <c r="CR40" s="166">
        <v>0</v>
      </c>
      <c r="CS40" s="151">
        <v>0</v>
      </c>
      <c r="CT40" s="151">
        <v>0</v>
      </c>
      <c r="CU40" s="151">
        <v>0</v>
      </c>
      <c r="CV40" s="284">
        <f t="shared" si="78"/>
        <v>0</v>
      </c>
      <c r="CW40" s="260">
        <v>0</v>
      </c>
      <c r="CX40" s="260">
        <v>0</v>
      </c>
      <c r="CY40" s="260">
        <v>0</v>
      </c>
      <c r="CZ40" s="162">
        <f t="shared" si="79"/>
        <v>0</v>
      </c>
      <c r="DA40" s="166">
        <v>0</v>
      </c>
      <c r="DB40" s="151">
        <v>0</v>
      </c>
      <c r="DC40" s="151">
        <v>0</v>
      </c>
      <c r="DD40" s="151">
        <v>0</v>
      </c>
      <c r="DE40" s="284">
        <f t="shared" si="80"/>
        <v>0</v>
      </c>
      <c r="DF40" s="260">
        <v>0</v>
      </c>
      <c r="DG40" s="260">
        <v>0</v>
      </c>
      <c r="DH40" s="260">
        <v>0</v>
      </c>
      <c r="DI40" s="162">
        <f t="shared" si="81"/>
        <v>0</v>
      </c>
      <c r="DJ40" s="159">
        <f t="shared" si="71"/>
        <v>1</v>
      </c>
      <c r="DK40" s="260">
        <f t="shared" si="72"/>
        <v>1</v>
      </c>
      <c r="DL40" s="260">
        <f t="shared" si="90"/>
        <v>0</v>
      </c>
      <c r="DM40" s="160">
        <f t="shared" si="74"/>
        <v>0</v>
      </c>
      <c r="DN40" s="84"/>
    </row>
    <row r="41" spans="2:124" s="71" customFormat="1" ht="12.75">
      <c r="B41" s="95" t="s">
        <v>30</v>
      </c>
      <c r="C41" s="96" t="s">
        <v>98</v>
      </c>
      <c r="D41" s="28">
        <v>0</v>
      </c>
      <c r="E41" s="6">
        <v>3.4</v>
      </c>
      <c r="F41" s="6">
        <v>-3.4</v>
      </c>
      <c r="G41" s="6">
        <v>0</v>
      </c>
      <c r="H41" s="65">
        <f t="shared" si="9"/>
        <v>0</v>
      </c>
      <c r="I41" s="63">
        <v>0</v>
      </c>
      <c r="J41" s="64">
        <v>0</v>
      </c>
      <c r="K41" s="64">
        <v>0</v>
      </c>
      <c r="L41" s="64">
        <v>0</v>
      </c>
      <c r="M41" s="64">
        <v>0</v>
      </c>
      <c r="N41" s="64">
        <v>0</v>
      </c>
      <c r="O41" s="65">
        <f t="shared" si="10"/>
        <v>0</v>
      </c>
      <c r="P41" s="57">
        <f t="shared" si="82"/>
        <v>3.4</v>
      </c>
      <c r="Q41" s="58">
        <f t="shared" si="77"/>
        <v>3.4</v>
      </c>
      <c r="R41" s="66">
        <f t="shared" si="50"/>
        <v>0</v>
      </c>
      <c r="S41" s="63">
        <v>0</v>
      </c>
      <c r="T41" s="64">
        <v>0</v>
      </c>
      <c r="U41" s="64">
        <v>0</v>
      </c>
      <c r="V41" s="64">
        <v>0</v>
      </c>
      <c r="W41" s="65">
        <f t="shared" si="51"/>
        <v>0</v>
      </c>
      <c r="X41" s="63">
        <v>0</v>
      </c>
      <c r="Y41" s="64">
        <v>0</v>
      </c>
      <c r="Z41" s="64">
        <v>0</v>
      </c>
      <c r="AA41" s="64">
        <v>0</v>
      </c>
      <c r="AB41" s="65">
        <f t="shared" si="52"/>
        <v>0</v>
      </c>
      <c r="AC41" s="63">
        <v>0</v>
      </c>
      <c r="AD41" s="64">
        <v>0</v>
      </c>
      <c r="AE41" s="64">
        <v>0</v>
      </c>
      <c r="AF41" s="64">
        <v>0</v>
      </c>
      <c r="AG41" s="100">
        <f t="shared" si="53"/>
        <v>0</v>
      </c>
      <c r="AH41" s="63">
        <v>0</v>
      </c>
      <c r="AI41" s="64">
        <v>0</v>
      </c>
      <c r="AJ41" s="64">
        <v>0</v>
      </c>
      <c r="AK41" s="64">
        <v>0</v>
      </c>
      <c r="AL41" s="70">
        <f t="shared" si="75"/>
        <v>0</v>
      </c>
      <c r="AM41" s="58">
        <v>0</v>
      </c>
      <c r="AN41" s="58">
        <v>0</v>
      </c>
      <c r="AO41" s="58">
        <v>0</v>
      </c>
      <c r="AP41" s="59">
        <f t="shared" si="76"/>
        <v>0</v>
      </c>
      <c r="AQ41" s="57">
        <f t="shared" si="54"/>
        <v>3.4</v>
      </c>
      <c r="AR41" s="58">
        <f t="shared" si="55"/>
        <v>3.4</v>
      </c>
      <c r="AS41" s="58">
        <f t="shared" si="56"/>
        <v>0</v>
      </c>
      <c r="AT41" s="92">
        <f t="shared" si="57"/>
        <v>0</v>
      </c>
      <c r="AU41" s="63">
        <v>0</v>
      </c>
      <c r="AV41" s="64">
        <v>0</v>
      </c>
      <c r="AW41" s="6">
        <v>0</v>
      </c>
      <c r="AX41" s="64">
        <v>0</v>
      </c>
      <c r="AY41" s="16">
        <f t="shared" si="58"/>
        <v>0</v>
      </c>
      <c r="AZ41" s="58">
        <v>0</v>
      </c>
      <c r="BA41" s="58">
        <v>0</v>
      </c>
      <c r="BB41" s="58">
        <v>0</v>
      </c>
      <c r="BC41" s="59">
        <f t="shared" si="59"/>
        <v>0</v>
      </c>
      <c r="BD41" s="271">
        <v>0</v>
      </c>
      <c r="BE41" s="151">
        <v>0</v>
      </c>
      <c r="BF41" s="151">
        <v>0</v>
      </c>
      <c r="BG41" s="151">
        <v>0</v>
      </c>
      <c r="BH41" s="284">
        <f t="shared" si="60"/>
        <v>0</v>
      </c>
      <c r="BI41" s="157">
        <v>0</v>
      </c>
      <c r="BJ41" s="157">
        <v>0</v>
      </c>
      <c r="BK41" s="157">
        <v>0</v>
      </c>
      <c r="BL41" s="259">
        <f t="shared" si="61"/>
        <v>0</v>
      </c>
      <c r="BM41" s="271">
        <v>0</v>
      </c>
      <c r="BN41" s="151">
        <v>0</v>
      </c>
      <c r="BO41" s="151">
        <v>0</v>
      </c>
      <c r="BP41" s="151">
        <v>0</v>
      </c>
      <c r="BQ41" s="284">
        <f t="shared" si="62"/>
        <v>0</v>
      </c>
      <c r="BR41" s="157">
        <v>0</v>
      </c>
      <c r="BS41" s="157">
        <v>0</v>
      </c>
      <c r="BT41" s="157">
        <v>0</v>
      </c>
      <c r="BU41" s="259">
        <f t="shared" si="84"/>
        <v>0</v>
      </c>
      <c r="BV41" s="166">
        <v>0</v>
      </c>
      <c r="BW41" s="151">
        <v>0</v>
      </c>
      <c r="BX41" s="151">
        <v>0</v>
      </c>
      <c r="BY41" s="151">
        <v>0</v>
      </c>
      <c r="BZ41" s="284">
        <f t="shared" si="64"/>
        <v>0</v>
      </c>
      <c r="CA41" s="260">
        <v>0</v>
      </c>
      <c r="CB41" s="260">
        <v>0</v>
      </c>
      <c r="CC41" s="260">
        <v>0</v>
      </c>
      <c r="CD41" s="162">
        <f t="shared" si="85"/>
        <v>0</v>
      </c>
      <c r="CE41" s="257">
        <f t="shared" si="86"/>
        <v>3.4</v>
      </c>
      <c r="CF41" s="157">
        <f t="shared" si="87"/>
        <v>3.4</v>
      </c>
      <c r="CG41" s="157">
        <f t="shared" si="88"/>
        <v>0</v>
      </c>
      <c r="CH41" s="160">
        <f t="shared" si="69"/>
        <v>0</v>
      </c>
      <c r="CI41" s="166">
        <v>0</v>
      </c>
      <c r="CJ41" s="151">
        <v>0</v>
      </c>
      <c r="CK41" s="151">
        <v>0</v>
      </c>
      <c r="CL41" s="151">
        <v>0</v>
      </c>
      <c r="CM41" s="284">
        <f t="shared" si="83"/>
        <v>0</v>
      </c>
      <c r="CN41" s="260">
        <v>0</v>
      </c>
      <c r="CO41" s="260">
        <v>0</v>
      </c>
      <c r="CP41" s="260">
        <v>0</v>
      </c>
      <c r="CQ41" s="162">
        <f t="shared" si="89"/>
        <v>0</v>
      </c>
      <c r="CR41" s="166">
        <v>0</v>
      </c>
      <c r="CS41" s="151">
        <v>0</v>
      </c>
      <c r="CT41" s="151">
        <v>0</v>
      </c>
      <c r="CU41" s="151">
        <v>0</v>
      </c>
      <c r="CV41" s="284">
        <f t="shared" si="78"/>
        <v>0</v>
      </c>
      <c r="CW41" s="260">
        <v>0</v>
      </c>
      <c r="CX41" s="260">
        <v>0</v>
      </c>
      <c r="CY41" s="260">
        <v>0</v>
      </c>
      <c r="CZ41" s="162">
        <f t="shared" si="79"/>
        <v>0</v>
      </c>
      <c r="DA41" s="166">
        <v>0</v>
      </c>
      <c r="DB41" s="151">
        <v>0</v>
      </c>
      <c r="DC41" s="151">
        <v>0</v>
      </c>
      <c r="DD41" s="151">
        <v>0</v>
      </c>
      <c r="DE41" s="284">
        <f t="shared" si="80"/>
        <v>0</v>
      </c>
      <c r="DF41" s="260">
        <v>0</v>
      </c>
      <c r="DG41" s="260">
        <v>0</v>
      </c>
      <c r="DH41" s="260">
        <v>0</v>
      </c>
      <c r="DI41" s="162">
        <f t="shared" si="81"/>
        <v>0</v>
      </c>
      <c r="DJ41" s="159">
        <f t="shared" si="71"/>
        <v>3.4</v>
      </c>
      <c r="DK41" s="260">
        <f t="shared" si="72"/>
        <v>3.4</v>
      </c>
      <c r="DL41" s="260">
        <f t="shared" si="90"/>
        <v>0</v>
      </c>
      <c r="DM41" s="160">
        <f t="shared" si="74"/>
        <v>0</v>
      </c>
      <c r="DN41" s="97"/>
      <c r="DO41" s="96"/>
      <c r="DP41" s="96"/>
      <c r="DQ41" s="96"/>
      <c r="DR41" s="96"/>
      <c r="DS41" s="96"/>
      <c r="DT41" s="96"/>
    </row>
    <row r="42" spans="2:118" s="38" customFormat="1" ht="12.75">
      <c r="B42" s="10" t="s">
        <v>30</v>
      </c>
      <c r="C42" s="38" t="s">
        <v>100</v>
      </c>
      <c r="D42" s="28">
        <v>149.1</v>
      </c>
      <c r="E42" s="6">
        <f>395.6-149.1</f>
        <v>246.50000000000003</v>
      </c>
      <c r="F42" s="6">
        <f>-395.6+149.1</f>
        <v>-246.50000000000003</v>
      </c>
      <c r="G42" s="6">
        <v>0</v>
      </c>
      <c r="H42" s="17">
        <f aca="true" t="shared" si="91" ref="H42:H48">SUM(E42:G42)</f>
        <v>0</v>
      </c>
      <c r="I42" s="28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17">
        <f aca="true" t="shared" si="92" ref="O42:O48">SUM(H42,J42:N42)</f>
        <v>0</v>
      </c>
      <c r="P42" s="12">
        <f t="shared" si="82"/>
        <v>395.6</v>
      </c>
      <c r="Q42" s="13">
        <f t="shared" si="77"/>
        <v>395.6</v>
      </c>
      <c r="R42" s="34">
        <f t="shared" si="50"/>
        <v>0</v>
      </c>
      <c r="S42" s="63">
        <v>0</v>
      </c>
      <c r="T42" s="6">
        <v>0</v>
      </c>
      <c r="U42" s="6">
        <v>0</v>
      </c>
      <c r="V42" s="64">
        <v>0</v>
      </c>
      <c r="W42" s="65">
        <f aca="true" t="shared" si="93" ref="W42:W48">SUM(R42,T42:V42)</f>
        <v>0</v>
      </c>
      <c r="X42" s="63">
        <v>0</v>
      </c>
      <c r="Y42" s="64">
        <v>0</v>
      </c>
      <c r="Z42" s="64">
        <v>0</v>
      </c>
      <c r="AA42" s="64">
        <v>0</v>
      </c>
      <c r="AB42" s="65">
        <f aca="true" t="shared" si="94" ref="AB42:AB48">SUM(W42,Y42:AA42)</f>
        <v>0</v>
      </c>
      <c r="AC42" s="63">
        <v>0</v>
      </c>
      <c r="AD42" s="6">
        <v>0</v>
      </c>
      <c r="AE42" s="6">
        <v>0</v>
      </c>
      <c r="AF42" s="64">
        <v>0</v>
      </c>
      <c r="AG42" s="100">
        <f aca="true" t="shared" si="95" ref="AG42:AG48">SUM(AB42,AD42:AF42)</f>
        <v>0</v>
      </c>
      <c r="AH42" s="63">
        <v>0</v>
      </c>
      <c r="AI42" s="64">
        <v>0</v>
      </c>
      <c r="AJ42" s="64">
        <v>0</v>
      </c>
      <c r="AK42" s="64">
        <v>0</v>
      </c>
      <c r="AL42" s="70">
        <f aca="true" t="shared" si="96" ref="AL42:AL48">SUM(AG42,AI42:AK42)</f>
        <v>0</v>
      </c>
      <c r="AM42" s="58">
        <v>0</v>
      </c>
      <c r="AN42" s="58">
        <v>0</v>
      </c>
      <c r="AO42" s="58">
        <v>0</v>
      </c>
      <c r="AP42" s="59">
        <f aca="true" t="shared" si="97" ref="AP42:AP48">SUM(AM42:AO42)</f>
        <v>0</v>
      </c>
      <c r="AQ42" s="57">
        <f aca="true" t="shared" si="98" ref="AQ42:AQ48">SUM(P42,S42,T42,V42,X42,Y42,AA42,AC42,AD42,AF42,AH42,AI42,AK42,AM42,AO42)</f>
        <v>395.6</v>
      </c>
      <c r="AR42" s="58">
        <f aca="true" t="shared" si="99" ref="AR42:AR48">SUM(Q42)+(S42+X42+AC42+AH42)+SUM((U42+Z42+AE42+AJ42+AN42)*-1)</f>
        <v>395.6</v>
      </c>
      <c r="AS42" s="58">
        <f aca="true" t="shared" si="100" ref="AS42:AS48">SUM(AQ42-AR42)</f>
        <v>0</v>
      </c>
      <c r="AT42" s="92">
        <f aca="true" t="shared" si="101" ref="AT42:AT48">SUM(AP42)</f>
        <v>0</v>
      </c>
      <c r="AU42" s="63">
        <v>0</v>
      </c>
      <c r="AV42" s="64">
        <v>0</v>
      </c>
      <c r="AW42" s="6">
        <v>0</v>
      </c>
      <c r="AX42" s="64">
        <v>0</v>
      </c>
      <c r="AY42" s="16">
        <f t="shared" si="58"/>
        <v>0</v>
      </c>
      <c r="AZ42" s="58">
        <v>0</v>
      </c>
      <c r="BA42" s="58">
        <v>0</v>
      </c>
      <c r="BB42" s="58">
        <v>0</v>
      </c>
      <c r="BC42" s="59">
        <f t="shared" si="59"/>
        <v>0</v>
      </c>
      <c r="BD42" s="271">
        <v>0</v>
      </c>
      <c r="BE42" s="151">
        <v>0</v>
      </c>
      <c r="BF42" s="151">
        <v>0</v>
      </c>
      <c r="BG42" s="151">
        <v>0</v>
      </c>
      <c r="BH42" s="297">
        <f t="shared" si="60"/>
        <v>0</v>
      </c>
      <c r="BI42" s="157">
        <v>0</v>
      </c>
      <c r="BJ42" s="157">
        <v>0</v>
      </c>
      <c r="BK42" s="157">
        <v>0</v>
      </c>
      <c r="BL42" s="259">
        <f t="shared" si="61"/>
        <v>0</v>
      </c>
      <c r="BM42" s="271">
        <v>0</v>
      </c>
      <c r="BN42" s="151">
        <v>0</v>
      </c>
      <c r="BO42" s="151">
        <v>0</v>
      </c>
      <c r="BP42" s="151">
        <v>0</v>
      </c>
      <c r="BQ42" s="297">
        <f t="shared" si="62"/>
        <v>0</v>
      </c>
      <c r="BR42" s="157">
        <v>0</v>
      </c>
      <c r="BS42" s="157">
        <v>0</v>
      </c>
      <c r="BT42" s="157">
        <v>0</v>
      </c>
      <c r="BU42" s="259">
        <f t="shared" si="84"/>
        <v>0</v>
      </c>
      <c r="BV42" s="166">
        <v>0</v>
      </c>
      <c r="BW42" s="151">
        <v>0</v>
      </c>
      <c r="BX42" s="151">
        <v>0</v>
      </c>
      <c r="BY42" s="151">
        <v>0</v>
      </c>
      <c r="BZ42" s="284">
        <f t="shared" si="64"/>
        <v>0</v>
      </c>
      <c r="CA42" s="260">
        <v>0</v>
      </c>
      <c r="CB42" s="260">
        <v>0</v>
      </c>
      <c r="CC42" s="260">
        <v>0</v>
      </c>
      <c r="CD42" s="162">
        <f t="shared" si="85"/>
        <v>0</v>
      </c>
      <c r="CE42" s="257">
        <f t="shared" si="86"/>
        <v>395.6</v>
      </c>
      <c r="CF42" s="157">
        <f t="shared" si="87"/>
        <v>395.6</v>
      </c>
      <c r="CG42" s="157">
        <f t="shared" si="88"/>
        <v>0</v>
      </c>
      <c r="CH42" s="160">
        <f t="shared" si="69"/>
        <v>0</v>
      </c>
      <c r="CI42" s="166">
        <v>0</v>
      </c>
      <c r="CJ42" s="151">
        <v>0</v>
      </c>
      <c r="CK42" s="151">
        <v>0</v>
      </c>
      <c r="CL42" s="151">
        <v>0</v>
      </c>
      <c r="CM42" s="284">
        <f t="shared" si="83"/>
        <v>0</v>
      </c>
      <c r="CN42" s="260">
        <v>0</v>
      </c>
      <c r="CO42" s="260">
        <v>0</v>
      </c>
      <c r="CP42" s="260">
        <v>0</v>
      </c>
      <c r="CQ42" s="162">
        <f t="shared" si="89"/>
        <v>0</v>
      </c>
      <c r="CR42" s="166">
        <v>0</v>
      </c>
      <c r="CS42" s="151">
        <v>0</v>
      </c>
      <c r="CT42" s="151">
        <v>0</v>
      </c>
      <c r="CU42" s="151">
        <v>0</v>
      </c>
      <c r="CV42" s="284">
        <f t="shared" si="78"/>
        <v>0</v>
      </c>
      <c r="CW42" s="260">
        <v>0</v>
      </c>
      <c r="CX42" s="260">
        <v>0</v>
      </c>
      <c r="CY42" s="260">
        <v>0</v>
      </c>
      <c r="CZ42" s="162">
        <f>SUM(CQ42,CW42,CX42,CY42)</f>
        <v>0</v>
      </c>
      <c r="DA42" s="166">
        <v>0</v>
      </c>
      <c r="DB42" s="151">
        <v>0</v>
      </c>
      <c r="DC42" s="151">
        <v>0</v>
      </c>
      <c r="DD42" s="151">
        <v>0</v>
      </c>
      <c r="DE42" s="284">
        <f t="shared" si="80"/>
        <v>0</v>
      </c>
      <c r="DF42" s="260">
        <v>0</v>
      </c>
      <c r="DG42" s="260">
        <v>0</v>
      </c>
      <c r="DH42" s="260">
        <v>0</v>
      </c>
      <c r="DI42" s="162">
        <f>SUM(CZ42,DF42,DG42,DH42)</f>
        <v>0</v>
      </c>
      <c r="DJ42" s="159">
        <f t="shared" si="71"/>
        <v>395.6</v>
      </c>
      <c r="DK42" s="260">
        <f t="shared" si="72"/>
        <v>395.6</v>
      </c>
      <c r="DL42" s="260">
        <f t="shared" si="90"/>
        <v>0</v>
      </c>
      <c r="DM42" s="160">
        <f t="shared" si="74"/>
        <v>0</v>
      </c>
      <c r="DN42" s="84"/>
    </row>
    <row r="43" spans="2:118" s="38" customFormat="1" ht="12.75">
      <c r="B43" s="167" t="s">
        <v>30</v>
      </c>
      <c r="C43" s="168" t="s">
        <v>89</v>
      </c>
      <c r="D43" s="169">
        <v>0</v>
      </c>
      <c r="E43" s="170">
        <v>0</v>
      </c>
      <c r="F43" s="170">
        <v>0</v>
      </c>
      <c r="G43" s="170">
        <v>0</v>
      </c>
      <c r="H43" s="171">
        <f t="shared" si="91"/>
        <v>0</v>
      </c>
      <c r="I43" s="169">
        <v>0</v>
      </c>
      <c r="J43" s="170">
        <v>20</v>
      </c>
      <c r="K43" s="170">
        <v>-6</v>
      </c>
      <c r="L43" s="170">
        <v>0</v>
      </c>
      <c r="M43" s="170">
        <v>0</v>
      </c>
      <c r="N43" s="170">
        <v>0</v>
      </c>
      <c r="O43" s="171">
        <f t="shared" si="92"/>
        <v>14</v>
      </c>
      <c r="P43" s="172">
        <f t="shared" si="82"/>
        <v>20</v>
      </c>
      <c r="Q43" s="173">
        <f t="shared" si="77"/>
        <v>6</v>
      </c>
      <c r="R43" s="174">
        <f t="shared" si="50"/>
        <v>14</v>
      </c>
      <c r="S43" s="169">
        <v>0</v>
      </c>
      <c r="T43" s="170">
        <v>0</v>
      </c>
      <c r="U43" s="170">
        <v>-0.817</v>
      </c>
      <c r="V43" s="170">
        <v>0</v>
      </c>
      <c r="W43" s="171">
        <f t="shared" si="93"/>
        <v>13.183</v>
      </c>
      <c r="X43" s="169">
        <v>0</v>
      </c>
      <c r="Y43" s="175">
        <v>0</v>
      </c>
      <c r="Z43" s="175">
        <v>-1.351</v>
      </c>
      <c r="AA43" s="170">
        <v>0</v>
      </c>
      <c r="AB43" s="171">
        <f t="shared" si="94"/>
        <v>11.832</v>
      </c>
      <c r="AC43" s="169">
        <v>0</v>
      </c>
      <c r="AD43" s="175">
        <v>0</v>
      </c>
      <c r="AE43" s="175">
        <f>-0.1-0.025306</f>
        <v>-0.125306</v>
      </c>
      <c r="AF43" s="170">
        <v>0</v>
      </c>
      <c r="AG43" s="176">
        <f t="shared" si="95"/>
        <v>11.706694</v>
      </c>
      <c r="AH43" s="169">
        <v>0</v>
      </c>
      <c r="AI43" s="170">
        <v>0</v>
      </c>
      <c r="AJ43" s="170">
        <v>0</v>
      </c>
      <c r="AK43" s="170">
        <v>0</v>
      </c>
      <c r="AL43" s="177">
        <f t="shared" si="96"/>
        <v>11.706694</v>
      </c>
      <c r="AM43" s="175">
        <v>0</v>
      </c>
      <c r="AN43" s="175">
        <v>0</v>
      </c>
      <c r="AO43" s="175">
        <v>0</v>
      </c>
      <c r="AP43" s="178">
        <f t="shared" si="97"/>
        <v>0</v>
      </c>
      <c r="AQ43" s="179">
        <f t="shared" si="98"/>
        <v>20</v>
      </c>
      <c r="AR43" s="175">
        <f t="shared" si="99"/>
        <v>8.293306000000001</v>
      </c>
      <c r="AS43" s="175">
        <f t="shared" si="100"/>
        <v>11.706693999999999</v>
      </c>
      <c r="AT43" s="180">
        <f t="shared" si="101"/>
        <v>0</v>
      </c>
      <c r="AU43" s="169">
        <v>0</v>
      </c>
      <c r="AV43" s="170">
        <v>0</v>
      </c>
      <c r="AW43" s="170">
        <v>0</v>
      </c>
      <c r="AX43" s="170">
        <v>0.013</v>
      </c>
      <c r="AY43" s="176">
        <f t="shared" si="58"/>
        <v>11.719693999999999</v>
      </c>
      <c r="AZ43" s="175">
        <v>0</v>
      </c>
      <c r="BA43" s="175">
        <v>0</v>
      </c>
      <c r="BB43" s="175">
        <v>0</v>
      </c>
      <c r="BC43" s="178">
        <f t="shared" si="59"/>
        <v>0</v>
      </c>
      <c r="BD43" s="272">
        <v>0</v>
      </c>
      <c r="BE43" s="262">
        <v>0</v>
      </c>
      <c r="BF43" s="262">
        <v>0</v>
      </c>
      <c r="BG43" s="262">
        <v>0</v>
      </c>
      <c r="BH43" s="296">
        <f t="shared" si="60"/>
        <v>11.719693999999999</v>
      </c>
      <c r="BI43" s="262">
        <v>0</v>
      </c>
      <c r="BJ43" s="262">
        <v>0</v>
      </c>
      <c r="BK43" s="262">
        <v>0</v>
      </c>
      <c r="BL43" s="307">
        <f t="shared" si="61"/>
        <v>0</v>
      </c>
      <c r="BM43" s="272">
        <v>0</v>
      </c>
      <c r="BN43" s="262">
        <v>0</v>
      </c>
      <c r="BO43" s="262">
        <v>0</v>
      </c>
      <c r="BP43" s="262">
        <v>0</v>
      </c>
      <c r="BQ43" s="296">
        <f t="shared" si="62"/>
        <v>11.719693999999999</v>
      </c>
      <c r="BR43" s="263">
        <v>0</v>
      </c>
      <c r="BS43" s="263">
        <v>0</v>
      </c>
      <c r="BT43" s="263">
        <v>0</v>
      </c>
      <c r="BU43" s="264">
        <f t="shared" si="84"/>
        <v>0</v>
      </c>
      <c r="BV43" s="272">
        <v>0</v>
      </c>
      <c r="BW43" s="262">
        <v>0</v>
      </c>
      <c r="BX43" s="262">
        <v>0</v>
      </c>
      <c r="BY43" s="262">
        <v>0</v>
      </c>
      <c r="BZ43" s="296">
        <f t="shared" si="64"/>
        <v>11.719693999999999</v>
      </c>
      <c r="CA43" s="262">
        <v>0</v>
      </c>
      <c r="CB43" s="262">
        <v>0</v>
      </c>
      <c r="CC43" s="262">
        <v>0</v>
      </c>
      <c r="CD43" s="307">
        <f t="shared" si="85"/>
        <v>0</v>
      </c>
      <c r="CE43" s="261">
        <f t="shared" si="86"/>
        <v>20.013</v>
      </c>
      <c r="CF43" s="263">
        <f t="shared" si="87"/>
        <v>8.293306000000001</v>
      </c>
      <c r="CG43" s="263">
        <f t="shared" si="88"/>
        <v>11.719694</v>
      </c>
      <c r="CH43" s="181">
        <f t="shared" si="69"/>
        <v>0</v>
      </c>
      <c r="CI43" s="272">
        <v>0</v>
      </c>
      <c r="CJ43" s="262">
        <v>0</v>
      </c>
      <c r="CK43" s="262">
        <v>0</v>
      </c>
      <c r="CL43" s="262">
        <v>0</v>
      </c>
      <c r="CM43" s="296">
        <f t="shared" si="83"/>
        <v>11.719694</v>
      </c>
      <c r="CN43" s="262">
        <v>0</v>
      </c>
      <c r="CO43" s="262">
        <v>0</v>
      </c>
      <c r="CP43" s="262">
        <v>0</v>
      </c>
      <c r="CQ43" s="307">
        <f t="shared" si="89"/>
        <v>0</v>
      </c>
      <c r="CR43" s="272">
        <v>0</v>
      </c>
      <c r="CS43" s="262">
        <v>0</v>
      </c>
      <c r="CT43" s="262">
        <v>0</v>
      </c>
      <c r="CU43" s="262">
        <v>0</v>
      </c>
      <c r="CV43" s="296">
        <f t="shared" si="78"/>
        <v>11.719694</v>
      </c>
      <c r="CW43" s="262">
        <v>0</v>
      </c>
      <c r="CX43" s="262">
        <v>0</v>
      </c>
      <c r="CY43" s="262">
        <v>0</v>
      </c>
      <c r="CZ43" s="307">
        <f aca="true" t="shared" si="102" ref="CZ43:CZ73">SUM(CQ43,CW43,CX43,CY43)</f>
        <v>0</v>
      </c>
      <c r="DA43" s="272">
        <v>0</v>
      </c>
      <c r="DB43" s="262">
        <v>0</v>
      </c>
      <c r="DC43" s="262">
        <v>0</v>
      </c>
      <c r="DD43" s="262">
        <v>0</v>
      </c>
      <c r="DE43" s="296">
        <f t="shared" si="80"/>
        <v>11.719694</v>
      </c>
      <c r="DF43" s="262">
        <v>0</v>
      </c>
      <c r="DG43" s="262">
        <v>0</v>
      </c>
      <c r="DH43" s="262">
        <v>0</v>
      </c>
      <c r="DI43" s="307">
        <f aca="true" t="shared" si="103" ref="DI43:DI73">SUM(CZ43,DF43,DG43,DH43)</f>
        <v>0</v>
      </c>
      <c r="DJ43" s="272">
        <f t="shared" si="71"/>
        <v>20.013</v>
      </c>
      <c r="DK43" s="262">
        <f t="shared" si="72"/>
        <v>8.293306000000001</v>
      </c>
      <c r="DL43" s="262">
        <f t="shared" si="90"/>
        <v>11.719694</v>
      </c>
      <c r="DM43" s="181">
        <f t="shared" si="74"/>
        <v>0</v>
      </c>
      <c r="DN43" s="84"/>
    </row>
    <row r="44" spans="2:124" s="33" customFormat="1" ht="12.75">
      <c r="B44" s="167" t="s">
        <v>30</v>
      </c>
      <c r="C44" s="168" t="s">
        <v>90</v>
      </c>
      <c r="D44" s="169">
        <v>0</v>
      </c>
      <c r="E44" s="170">
        <v>0</v>
      </c>
      <c r="F44" s="170">
        <v>0</v>
      </c>
      <c r="G44" s="170">
        <v>0</v>
      </c>
      <c r="H44" s="171">
        <f t="shared" si="91"/>
        <v>0</v>
      </c>
      <c r="I44" s="169">
        <v>0</v>
      </c>
      <c r="J44" s="175">
        <f>134+132+8.6-266</f>
        <v>8.600000000000023</v>
      </c>
      <c r="K44" s="170">
        <v>-8.364646</v>
      </c>
      <c r="L44" s="170">
        <v>0</v>
      </c>
      <c r="M44" s="170">
        <v>0</v>
      </c>
      <c r="N44" s="170">
        <v>0</v>
      </c>
      <c r="O44" s="171">
        <f t="shared" si="92"/>
        <v>0.23535400000002227</v>
      </c>
      <c r="P44" s="172">
        <f t="shared" si="82"/>
        <v>8.600000000000023</v>
      </c>
      <c r="Q44" s="173">
        <f t="shared" si="77"/>
        <v>8.364646</v>
      </c>
      <c r="R44" s="174">
        <f t="shared" si="50"/>
        <v>0.23535400000002227</v>
      </c>
      <c r="S44" s="179">
        <v>0</v>
      </c>
      <c r="T44" s="175">
        <v>0</v>
      </c>
      <c r="U44" s="170">
        <v>0</v>
      </c>
      <c r="V44" s="175">
        <v>0</v>
      </c>
      <c r="W44" s="178">
        <f t="shared" si="93"/>
        <v>0.23535400000002227</v>
      </c>
      <c r="X44" s="179">
        <v>0</v>
      </c>
      <c r="Y44" s="175">
        <v>0</v>
      </c>
      <c r="Z44" s="175">
        <v>0</v>
      </c>
      <c r="AA44" s="175">
        <v>-0.2</v>
      </c>
      <c r="AB44" s="178">
        <f t="shared" si="94"/>
        <v>0.035354000000022257</v>
      </c>
      <c r="AC44" s="179">
        <v>0</v>
      </c>
      <c r="AD44" s="175">
        <v>0</v>
      </c>
      <c r="AE44" s="175">
        <v>-0.022</v>
      </c>
      <c r="AF44" s="175">
        <v>0</v>
      </c>
      <c r="AG44" s="177">
        <f t="shared" si="95"/>
        <v>0.013354000000022258</v>
      </c>
      <c r="AH44" s="179">
        <v>0</v>
      </c>
      <c r="AI44" s="175">
        <v>0</v>
      </c>
      <c r="AJ44" s="170">
        <v>0.022</v>
      </c>
      <c r="AK44" s="175">
        <v>0</v>
      </c>
      <c r="AL44" s="177">
        <f t="shared" si="96"/>
        <v>0.035354000000022257</v>
      </c>
      <c r="AM44" s="175">
        <v>0</v>
      </c>
      <c r="AN44" s="175">
        <v>0</v>
      </c>
      <c r="AO44" s="175">
        <v>0</v>
      </c>
      <c r="AP44" s="178">
        <f t="shared" si="97"/>
        <v>0</v>
      </c>
      <c r="AQ44" s="179">
        <f t="shared" si="98"/>
        <v>8.400000000000023</v>
      </c>
      <c r="AR44" s="263">
        <f t="shared" si="99"/>
        <v>8.364646</v>
      </c>
      <c r="AS44" s="175">
        <f t="shared" si="100"/>
        <v>0.03535400000002298</v>
      </c>
      <c r="AT44" s="180">
        <f t="shared" si="101"/>
        <v>0</v>
      </c>
      <c r="AU44" s="179">
        <v>0</v>
      </c>
      <c r="AV44" s="175">
        <v>0</v>
      </c>
      <c r="AW44" s="170">
        <v>0</v>
      </c>
      <c r="AX44" s="175">
        <v>0.021</v>
      </c>
      <c r="AY44" s="176">
        <f t="shared" si="58"/>
        <v>0.05635400000002298</v>
      </c>
      <c r="AZ44" s="175">
        <v>0</v>
      </c>
      <c r="BA44" s="175">
        <v>0</v>
      </c>
      <c r="BB44" s="175">
        <v>0</v>
      </c>
      <c r="BC44" s="178">
        <f t="shared" si="59"/>
        <v>0</v>
      </c>
      <c r="BD44" s="261">
        <v>0</v>
      </c>
      <c r="BE44" s="262">
        <v>0</v>
      </c>
      <c r="BF44" s="262">
        <v>0</v>
      </c>
      <c r="BG44" s="262">
        <v>0</v>
      </c>
      <c r="BH44" s="296">
        <f t="shared" si="60"/>
        <v>0.05635400000002298</v>
      </c>
      <c r="BI44" s="262">
        <v>0</v>
      </c>
      <c r="BJ44" s="262">
        <v>0</v>
      </c>
      <c r="BK44" s="262">
        <v>0</v>
      </c>
      <c r="BL44" s="307">
        <f t="shared" si="61"/>
        <v>0</v>
      </c>
      <c r="BM44" s="261">
        <v>0</v>
      </c>
      <c r="BN44" s="262">
        <v>0</v>
      </c>
      <c r="BO44" s="262">
        <v>0</v>
      </c>
      <c r="BP44" s="262">
        <v>0</v>
      </c>
      <c r="BQ44" s="296">
        <f t="shared" si="62"/>
        <v>0.05635400000002298</v>
      </c>
      <c r="BR44" s="263">
        <v>0</v>
      </c>
      <c r="BS44" s="263">
        <v>0</v>
      </c>
      <c r="BT44" s="263">
        <v>0</v>
      </c>
      <c r="BU44" s="264">
        <f t="shared" si="84"/>
        <v>0</v>
      </c>
      <c r="BV44" s="272">
        <v>0</v>
      </c>
      <c r="BW44" s="262">
        <v>0</v>
      </c>
      <c r="BX44" s="262">
        <v>0</v>
      </c>
      <c r="BY44" s="262">
        <v>0</v>
      </c>
      <c r="BZ44" s="296">
        <f t="shared" si="64"/>
        <v>0.05635400000002298</v>
      </c>
      <c r="CA44" s="262">
        <v>0</v>
      </c>
      <c r="CB44" s="262">
        <v>0</v>
      </c>
      <c r="CC44" s="262">
        <v>0</v>
      </c>
      <c r="CD44" s="307">
        <f t="shared" si="85"/>
        <v>0</v>
      </c>
      <c r="CE44" s="261">
        <f t="shared" si="86"/>
        <v>8.421000000000024</v>
      </c>
      <c r="CF44" s="263">
        <f t="shared" si="87"/>
        <v>8.364646</v>
      </c>
      <c r="CG44" s="263">
        <f t="shared" si="88"/>
        <v>0.056354000000023774</v>
      </c>
      <c r="CH44" s="181">
        <f t="shared" si="69"/>
        <v>0</v>
      </c>
      <c r="CI44" s="272">
        <v>0</v>
      </c>
      <c r="CJ44" s="262">
        <v>0</v>
      </c>
      <c r="CK44" s="262">
        <v>0</v>
      </c>
      <c r="CL44" s="262">
        <v>0</v>
      </c>
      <c r="CM44" s="296">
        <f t="shared" si="83"/>
        <v>0.056354000000023774</v>
      </c>
      <c r="CN44" s="262">
        <v>0</v>
      </c>
      <c r="CO44" s="262">
        <v>0</v>
      </c>
      <c r="CP44" s="262">
        <v>0</v>
      </c>
      <c r="CQ44" s="307">
        <f t="shared" si="89"/>
        <v>0</v>
      </c>
      <c r="CR44" s="272">
        <v>0</v>
      </c>
      <c r="CS44" s="262">
        <v>0</v>
      </c>
      <c r="CT44" s="262">
        <v>0</v>
      </c>
      <c r="CU44" s="262">
        <v>0</v>
      </c>
      <c r="CV44" s="296">
        <f t="shared" si="78"/>
        <v>0.056354000000023774</v>
      </c>
      <c r="CW44" s="262">
        <v>0</v>
      </c>
      <c r="CX44" s="262">
        <v>0</v>
      </c>
      <c r="CY44" s="262">
        <v>0</v>
      </c>
      <c r="CZ44" s="307">
        <f t="shared" si="102"/>
        <v>0</v>
      </c>
      <c r="DA44" s="272">
        <v>0</v>
      </c>
      <c r="DB44" s="262">
        <v>0</v>
      </c>
      <c r="DC44" s="262">
        <v>0</v>
      </c>
      <c r="DD44" s="262">
        <v>0</v>
      </c>
      <c r="DE44" s="296">
        <f t="shared" si="80"/>
        <v>0.056354000000023774</v>
      </c>
      <c r="DF44" s="262">
        <v>0</v>
      </c>
      <c r="DG44" s="262">
        <v>0</v>
      </c>
      <c r="DH44" s="262">
        <v>0</v>
      </c>
      <c r="DI44" s="307">
        <f t="shared" si="103"/>
        <v>0</v>
      </c>
      <c r="DJ44" s="272">
        <f t="shared" si="71"/>
        <v>8.421000000000024</v>
      </c>
      <c r="DK44" s="262">
        <f t="shared" si="72"/>
        <v>8.364646</v>
      </c>
      <c r="DL44" s="262">
        <f t="shared" si="90"/>
        <v>0.056354000000023774</v>
      </c>
      <c r="DM44" s="181">
        <f t="shared" si="74"/>
        <v>0</v>
      </c>
      <c r="DN44" s="84"/>
      <c r="DO44" s="38"/>
      <c r="DP44" s="38"/>
      <c r="DQ44" s="38"/>
      <c r="DR44" s="38"/>
      <c r="DS44" s="38"/>
      <c r="DT44" s="38"/>
    </row>
    <row r="45" spans="2:124" s="33" customFormat="1" ht="12.75">
      <c r="B45" s="167" t="s">
        <v>30</v>
      </c>
      <c r="C45" s="168" t="s">
        <v>91</v>
      </c>
      <c r="D45" s="169">
        <v>0</v>
      </c>
      <c r="E45" s="170">
        <v>0</v>
      </c>
      <c r="F45" s="170">
        <v>0</v>
      </c>
      <c r="G45" s="170">
        <v>0</v>
      </c>
      <c r="H45" s="171">
        <f t="shared" si="91"/>
        <v>0</v>
      </c>
      <c r="I45" s="169">
        <v>0</v>
      </c>
      <c r="J45" s="170">
        <v>37.2</v>
      </c>
      <c r="K45" s="170">
        <f>-0.3-37.2-0.034676</f>
        <v>-37.534676</v>
      </c>
      <c r="L45" s="170">
        <v>0</v>
      </c>
      <c r="M45" s="170">
        <v>0</v>
      </c>
      <c r="N45" s="170">
        <v>0</v>
      </c>
      <c r="O45" s="171">
        <f t="shared" si="92"/>
        <v>-0.33467599999999464</v>
      </c>
      <c r="P45" s="172">
        <f t="shared" si="82"/>
        <v>37.2</v>
      </c>
      <c r="Q45" s="173">
        <f t="shared" si="77"/>
        <v>37.534676</v>
      </c>
      <c r="R45" s="174">
        <f t="shared" si="50"/>
        <v>-0.33467599999999464</v>
      </c>
      <c r="S45" s="179">
        <v>0</v>
      </c>
      <c r="T45" s="175">
        <v>0</v>
      </c>
      <c r="U45" s="175">
        <v>0</v>
      </c>
      <c r="V45" s="175">
        <v>0</v>
      </c>
      <c r="W45" s="178">
        <f t="shared" si="93"/>
        <v>-0.33467599999999464</v>
      </c>
      <c r="X45" s="179">
        <v>0</v>
      </c>
      <c r="Y45" s="175">
        <v>0</v>
      </c>
      <c r="Z45" s="175">
        <v>0</v>
      </c>
      <c r="AA45" s="175">
        <f>0.2+0.1</f>
        <v>0.30000000000000004</v>
      </c>
      <c r="AB45" s="178">
        <f t="shared" si="94"/>
        <v>-0.0346759999999946</v>
      </c>
      <c r="AC45" s="179">
        <v>0</v>
      </c>
      <c r="AD45" s="170">
        <v>0</v>
      </c>
      <c r="AE45" s="170">
        <v>0</v>
      </c>
      <c r="AF45" s="175">
        <v>0</v>
      </c>
      <c r="AG45" s="177">
        <f t="shared" si="95"/>
        <v>-0.0346759999999946</v>
      </c>
      <c r="AH45" s="179">
        <v>0</v>
      </c>
      <c r="AI45" s="175">
        <v>0</v>
      </c>
      <c r="AJ45" s="175">
        <v>0</v>
      </c>
      <c r="AK45" s="175">
        <v>0</v>
      </c>
      <c r="AL45" s="177">
        <f t="shared" si="96"/>
        <v>-0.0346759999999946</v>
      </c>
      <c r="AM45" s="175">
        <v>0</v>
      </c>
      <c r="AN45" s="175">
        <v>0</v>
      </c>
      <c r="AO45" s="175">
        <v>0</v>
      </c>
      <c r="AP45" s="178">
        <f t="shared" si="97"/>
        <v>0</v>
      </c>
      <c r="AQ45" s="179">
        <f t="shared" si="98"/>
        <v>37.5</v>
      </c>
      <c r="AR45" s="175">
        <f t="shared" si="99"/>
        <v>37.534676</v>
      </c>
      <c r="AS45" s="175">
        <f t="shared" si="100"/>
        <v>-0.03467599999999749</v>
      </c>
      <c r="AT45" s="180">
        <f t="shared" si="101"/>
        <v>0</v>
      </c>
      <c r="AU45" s="179">
        <v>0</v>
      </c>
      <c r="AV45" s="175">
        <v>0</v>
      </c>
      <c r="AW45" s="170">
        <v>0</v>
      </c>
      <c r="AX45" s="175">
        <v>0</v>
      </c>
      <c r="AY45" s="176">
        <f t="shared" si="58"/>
        <v>-0.03467599999999749</v>
      </c>
      <c r="AZ45" s="175">
        <v>0</v>
      </c>
      <c r="BA45" s="175">
        <v>0</v>
      </c>
      <c r="BB45" s="175">
        <v>0</v>
      </c>
      <c r="BC45" s="178">
        <f t="shared" si="59"/>
        <v>0</v>
      </c>
      <c r="BD45" s="261">
        <v>0</v>
      </c>
      <c r="BE45" s="262">
        <v>0</v>
      </c>
      <c r="BF45" s="262">
        <v>-0.025</v>
      </c>
      <c r="BG45" s="262">
        <v>0</v>
      </c>
      <c r="BH45" s="296">
        <f t="shared" si="60"/>
        <v>-0.05967599999999749</v>
      </c>
      <c r="BI45" s="262">
        <v>0</v>
      </c>
      <c r="BJ45" s="262">
        <v>0</v>
      </c>
      <c r="BK45" s="262">
        <v>0</v>
      </c>
      <c r="BL45" s="307">
        <f t="shared" si="61"/>
        <v>0</v>
      </c>
      <c r="BM45" s="261">
        <v>0</v>
      </c>
      <c r="BN45" s="262">
        <v>0</v>
      </c>
      <c r="BO45" s="262">
        <v>0</v>
      </c>
      <c r="BP45" s="262">
        <v>0</v>
      </c>
      <c r="BQ45" s="296">
        <f t="shared" si="62"/>
        <v>-0.05967599999999749</v>
      </c>
      <c r="BR45" s="263">
        <v>0</v>
      </c>
      <c r="BS45" s="263">
        <v>0</v>
      </c>
      <c r="BT45" s="263">
        <v>0</v>
      </c>
      <c r="BU45" s="264">
        <f t="shared" si="84"/>
        <v>0</v>
      </c>
      <c r="BV45" s="272">
        <v>0</v>
      </c>
      <c r="BW45" s="262">
        <v>25</v>
      </c>
      <c r="BX45" s="262">
        <v>-25</v>
      </c>
      <c r="BY45" s="262">
        <v>0</v>
      </c>
      <c r="BZ45" s="296">
        <f t="shared" si="64"/>
        <v>-0.059675999999996066</v>
      </c>
      <c r="CA45" s="262">
        <v>0</v>
      </c>
      <c r="CB45" s="262">
        <v>0</v>
      </c>
      <c r="CC45" s="262">
        <v>0</v>
      </c>
      <c r="CD45" s="307">
        <f t="shared" si="85"/>
        <v>0</v>
      </c>
      <c r="CE45" s="261">
        <f t="shared" si="86"/>
        <v>62.5</v>
      </c>
      <c r="CF45" s="263">
        <f t="shared" si="87"/>
        <v>62.559675999999996</v>
      </c>
      <c r="CG45" s="263">
        <f t="shared" si="88"/>
        <v>-0.059675999999996066</v>
      </c>
      <c r="CH45" s="181">
        <f t="shared" si="69"/>
        <v>0</v>
      </c>
      <c r="CI45" s="272">
        <v>0</v>
      </c>
      <c r="CJ45" s="262">
        <v>0</v>
      </c>
      <c r="CK45" s="262">
        <v>0</v>
      </c>
      <c r="CL45" s="262">
        <v>0</v>
      </c>
      <c r="CM45" s="296">
        <f t="shared" si="83"/>
        <v>-0.059675999999996066</v>
      </c>
      <c r="CN45" s="262">
        <v>0</v>
      </c>
      <c r="CO45" s="262">
        <v>0</v>
      </c>
      <c r="CP45" s="262">
        <v>0</v>
      </c>
      <c r="CQ45" s="307">
        <f t="shared" si="89"/>
        <v>0</v>
      </c>
      <c r="CR45" s="272">
        <v>0</v>
      </c>
      <c r="CS45" s="262">
        <v>0</v>
      </c>
      <c r="CT45" s="262">
        <v>0</v>
      </c>
      <c r="CU45" s="262">
        <v>0</v>
      </c>
      <c r="CV45" s="296">
        <f t="shared" si="78"/>
        <v>-0.059675999999996066</v>
      </c>
      <c r="CW45" s="262">
        <v>0</v>
      </c>
      <c r="CX45" s="262">
        <v>0</v>
      </c>
      <c r="CY45" s="262">
        <v>0</v>
      </c>
      <c r="CZ45" s="307">
        <f t="shared" si="102"/>
        <v>0</v>
      </c>
      <c r="DA45" s="272">
        <v>0</v>
      </c>
      <c r="DB45" s="262">
        <v>0</v>
      </c>
      <c r="DC45" s="262">
        <v>0</v>
      </c>
      <c r="DD45" s="262">
        <v>0</v>
      </c>
      <c r="DE45" s="296">
        <f t="shared" si="80"/>
        <v>-0.059675999999996066</v>
      </c>
      <c r="DF45" s="262">
        <v>0</v>
      </c>
      <c r="DG45" s="262">
        <v>0</v>
      </c>
      <c r="DH45" s="262">
        <v>0</v>
      </c>
      <c r="DI45" s="307">
        <f t="shared" si="103"/>
        <v>0</v>
      </c>
      <c r="DJ45" s="272">
        <f t="shared" si="71"/>
        <v>62.5</v>
      </c>
      <c r="DK45" s="262">
        <f t="shared" si="72"/>
        <v>62.559675999999996</v>
      </c>
      <c r="DL45" s="262">
        <f t="shared" si="90"/>
        <v>-0.059675999999996066</v>
      </c>
      <c r="DM45" s="181">
        <f t="shared" si="74"/>
        <v>0</v>
      </c>
      <c r="DN45" s="84"/>
      <c r="DO45" s="38"/>
      <c r="DP45" s="38"/>
      <c r="DQ45" s="38"/>
      <c r="DR45" s="38"/>
      <c r="DS45" s="38"/>
      <c r="DT45" s="38"/>
    </row>
    <row r="46" spans="2:124" s="33" customFormat="1" ht="12.75">
      <c r="B46" s="167" t="s">
        <v>30</v>
      </c>
      <c r="C46" s="168" t="s">
        <v>92</v>
      </c>
      <c r="D46" s="169">
        <v>0</v>
      </c>
      <c r="E46" s="170">
        <v>0</v>
      </c>
      <c r="F46" s="170">
        <v>0</v>
      </c>
      <c r="G46" s="170">
        <v>0</v>
      </c>
      <c r="H46" s="171">
        <f t="shared" si="91"/>
        <v>0</v>
      </c>
      <c r="I46" s="169">
        <v>0</v>
      </c>
      <c r="J46" s="170">
        <f>183.69+238</f>
        <v>421.69</v>
      </c>
      <c r="K46" s="170">
        <v>-183.691</v>
      </c>
      <c r="L46" s="170">
        <v>0</v>
      </c>
      <c r="M46" s="170">
        <v>0</v>
      </c>
      <c r="N46" s="170">
        <v>0</v>
      </c>
      <c r="O46" s="171">
        <f t="shared" si="92"/>
        <v>237.999</v>
      </c>
      <c r="P46" s="172">
        <f t="shared" si="82"/>
        <v>421.69</v>
      </c>
      <c r="Q46" s="173">
        <f t="shared" si="77"/>
        <v>183.691</v>
      </c>
      <c r="R46" s="174">
        <f t="shared" si="50"/>
        <v>237.999</v>
      </c>
      <c r="S46" s="179">
        <v>0</v>
      </c>
      <c r="T46" s="175">
        <v>0</v>
      </c>
      <c r="U46" s="170">
        <v>-14.5</v>
      </c>
      <c r="V46" s="175">
        <v>0</v>
      </c>
      <c r="W46" s="178">
        <f t="shared" si="93"/>
        <v>223.499</v>
      </c>
      <c r="X46" s="179">
        <v>0</v>
      </c>
      <c r="Y46" s="175">
        <v>0</v>
      </c>
      <c r="Z46" s="175">
        <v>-72.122</v>
      </c>
      <c r="AA46" s="175">
        <v>0</v>
      </c>
      <c r="AB46" s="178">
        <f t="shared" si="94"/>
        <v>151.377</v>
      </c>
      <c r="AC46" s="179">
        <v>0</v>
      </c>
      <c r="AD46" s="175">
        <v>0</v>
      </c>
      <c r="AE46" s="175">
        <v>0</v>
      </c>
      <c r="AF46" s="175">
        <v>0</v>
      </c>
      <c r="AG46" s="177">
        <f t="shared" si="95"/>
        <v>151.377</v>
      </c>
      <c r="AH46" s="179">
        <v>0</v>
      </c>
      <c r="AI46" s="175">
        <v>0</v>
      </c>
      <c r="AJ46" s="175">
        <v>-0.2</v>
      </c>
      <c r="AK46" s="175">
        <v>0</v>
      </c>
      <c r="AL46" s="177">
        <f t="shared" si="96"/>
        <v>151.17700000000002</v>
      </c>
      <c r="AM46" s="175">
        <v>0</v>
      </c>
      <c r="AN46" s="175">
        <v>0</v>
      </c>
      <c r="AO46" s="175">
        <v>0</v>
      </c>
      <c r="AP46" s="178">
        <f t="shared" si="97"/>
        <v>0</v>
      </c>
      <c r="AQ46" s="179">
        <f t="shared" si="98"/>
        <v>421.69</v>
      </c>
      <c r="AR46" s="175">
        <f t="shared" si="99"/>
        <v>270.51300000000003</v>
      </c>
      <c r="AS46" s="175">
        <f t="shared" si="100"/>
        <v>151.17699999999996</v>
      </c>
      <c r="AT46" s="180">
        <f t="shared" si="101"/>
        <v>0</v>
      </c>
      <c r="AU46" s="179">
        <v>0</v>
      </c>
      <c r="AV46" s="170">
        <v>0</v>
      </c>
      <c r="AW46" s="170">
        <v>0.009</v>
      </c>
      <c r="AX46" s="175">
        <v>0.009</v>
      </c>
      <c r="AY46" s="176">
        <f t="shared" si="58"/>
        <v>151.19499999999994</v>
      </c>
      <c r="AZ46" s="175">
        <v>0</v>
      </c>
      <c r="BA46" s="175">
        <v>0</v>
      </c>
      <c r="BB46" s="175">
        <v>0</v>
      </c>
      <c r="BC46" s="178">
        <f t="shared" si="59"/>
        <v>0</v>
      </c>
      <c r="BD46" s="261">
        <v>0</v>
      </c>
      <c r="BE46" s="262">
        <v>-28.846</v>
      </c>
      <c r="BF46" s="262">
        <v>0</v>
      </c>
      <c r="BG46" s="262">
        <v>0</v>
      </c>
      <c r="BH46" s="296">
        <f t="shared" si="60"/>
        <v>122.34899999999993</v>
      </c>
      <c r="BI46" s="262">
        <v>0</v>
      </c>
      <c r="BJ46" s="262">
        <v>0</v>
      </c>
      <c r="BK46" s="262">
        <v>0</v>
      </c>
      <c r="BL46" s="307">
        <f t="shared" si="61"/>
        <v>0</v>
      </c>
      <c r="BM46" s="261">
        <v>0</v>
      </c>
      <c r="BN46" s="262">
        <v>-23</v>
      </c>
      <c r="BO46" s="262">
        <v>0</v>
      </c>
      <c r="BP46" s="262">
        <v>0</v>
      </c>
      <c r="BQ46" s="296">
        <f t="shared" si="62"/>
        <v>99.34899999999993</v>
      </c>
      <c r="BR46" s="262">
        <v>0</v>
      </c>
      <c r="BS46" s="262">
        <v>0</v>
      </c>
      <c r="BT46" s="262">
        <v>0</v>
      </c>
      <c r="BU46" s="307">
        <f t="shared" si="84"/>
        <v>0</v>
      </c>
      <c r="BV46" s="272">
        <v>0</v>
      </c>
      <c r="BW46" s="262">
        <v>0</v>
      </c>
      <c r="BX46" s="262">
        <v>0</v>
      </c>
      <c r="BY46" s="262">
        <v>0</v>
      </c>
      <c r="BZ46" s="296">
        <f t="shared" si="64"/>
        <v>99.34899999999993</v>
      </c>
      <c r="CA46" s="262">
        <v>0</v>
      </c>
      <c r="CB46" s="262">
        <v>0</v>
      </c>
      <c r="CC46" s="262">
        <v>0</v>
      </c>
      <c r="CD46" s="307">
        <f t="shared" si="85"/>
        <v>0</v>
      </c>
      <c r="CE46" s="261">
        <f t="shared" si="86"/>
        <v>369.853</v>
      </c>
      <c r="CF46" s="263">
        <f t="shared" si="87"/>
        <v>270.504</v>
      </c>
      <c r="CG46" s="262">
        <f t="shared" si="88"/>
        <v>99.34899999999999</v>
      </c>
      <c r="CH46" s="181">
        <f t="shared" si="69"/>
        <v>0</v>
      </c>
      <c r="CI46" s="272">
        <v>0</v>
      </c>
      <c r="CJ46" s="262">
        <v>0</v>
      </c>
      <c r="CK46" s="262">
        <v>0</v>
      </c>
      <c r="CL46" s="262">
        <v>0</v>
      </c>
      <c r="CM46" s="296">
        <f t="shared" si="83"/>
        <v>99.34899999999999</v>
      </c>
      <c r="CN46" s="262">
        <v>0</v>
      </c>
      <c r="CO46" s="262">
        <v>0</v>
      </c>
      <c r="CP46" s="262">
        <v>0</v>
      </c>
      <c r="CQ46" s="307">
        <f t="shared" si="89"/>
        <v>0</v>
      </c>
      <c r="CR46" s="272">
        <v>0</v>
      </c>
      <c r="CS46" s="262">
        <v>-30</v>
      </c>
      <c r="CT46" s="262">
        <v>0</v>
      </c>
      <c r="CU46" s="262">
        <v>0</v>
      </c>
      <c r="CV46" s="296">
        <f t="shared" si="78"/>
        <v>69.34899999999999</v>
      </c>
      <c r="CW46" s="262">
        <v>0</v>
      </c>
      <c r="CX46" s="262">
        <v>0</v>
      </c>
      <c r="CY46" s="262">
        <v>0</v>
      </c>
      <c r="CZ46" s="307">
        <f t="shared" si="102"/>
        <v>0</v>
      </c>
      <c r="DA46" s="272">
        <v>0</v>
      </c>
      <c r="DB46" s="262">
        <v>0</v>
      </c>
      <c r="DC46" s="262">
        <v>0</v>
      </c>
      <c r="DD46" s="262">
        <v>0</v>
      </c>
      <c r="DE46" s="296">
        <f t="shared" si="80"/>
        <v>69.34899999999999</v>
      </c>
      <c r="DF46" s="262">
        <v>0</v>
      </c>
      <c r="DG46" s="262">
        <v>0</v>
      </c>
      <c r="DH46" s="262">
        <v>0</v>
      </c>
      <c r="DI46" s="307">
        <f t="shared" si="103"/>
        <v>0</v>
      </c>
      <c r="DJ46" s="272">
        <f t="shared" si="71"/>
        <v>339.853</v>
      </c>
      <c r="DK46" s="262">
        <f t="shared" si="72"/>
        <v>270.504</v>
      </c>
      <c r="DL46" s="262">
        <f t="shared" si="90"/>
        <v>69.34899999999999</v>
      </c>
      <c r="DM46" s="181">
        <f t="shared" si="74"/>
        <v>0</v>
      </c>
      <c r="DN46" s="84"/>
      <c r="DO46" s="38"/>
      <c r="DP46" s="38"/>
      <c r="DQ46" s="38"/>
      <c r="DR46" s="38"/>
      <c r="DS46" s="38"/>
      <c r="DT46" s="38"/>
    </row>
    <row r="47" spans="2:124" s="33" customFormat="1" ht="12.75">
      <c r="B47" s="167" t="s">
        <v>30</v>
      </c>
      <c r="C47" s="168" t="s">
        <v>93</v>
      </c>
      <c r="D47" s="169">
        <v>0</v>
      </c>
      <c r="E47" s="170">
        <v>136</v>
      </c>
      <c r="F47" s="170">
        <v>0</v>
      </c>
      <c r="G47" s="170">
        <v>0</v>
      </c>
      <c r="H47" s="171">
        <f t="shared" si="91"/>
        <v>136</v>
      </c>
      <c r="I47" s="169">
        <v>0</v>
      </c>
      <c r="J47" s="170">
        <v>37</v>
      </c>
      <c r="K47" s="170">
        <v>-78.9</v>
      </c>
      <c r="L47" s="170">
        <v>0</v>
      </c>
      <c r="M47" s="170">
        <v>0</v>
      </c>
      <c r="N47" s="170">
        <v>0</v>
      </c>
      <c r="O47" s="171">
        <f t="shared" si="92"/>
        <v>94.1</v>
      </c>
      <c r="P47" s="172">
        <f t="shared" si="82"/>
        <v>173</v>
      </c>
      <c r="Q47" s="173">
        <f t="shared" si="77"/>
        <v>78.9</v>
      </c>
      <c r="R47" s="174">
        <f t="shared" si="50"/>
        <v>94.1</v>
      </c>
      <c r="S47" s="179">
        <v>0</v>
      </c>
      <c r="T47" s="170">
        <v>0</v>
      </c>
      <c r="U47" s="170">
        <v>-20.3</v>
      </c>
      <c r="V47" s="175">
        <v>0</v>
      </c>
      <c r="W47" s="178">
        <f t="shared" si="93"/>
        <v>73.8</v>
      </c>
      <c r="X47" s="179">
        <v>0</v>
      </c>
      <c r="Y47" s="175">
        <v>0</v>
      </c>
      <c r="Z47" s="175">
        <v>-29.25</v>
      </c>
      <c r="AA47" s="175">
        <v>0</v>
      </c>
      <c r="AB47" s="178">
        <f t="shared" si="94"/>
        <v>44.55</v>
      </c>
      <c r="AC47" s="179">
        <v>0</v>
      </c>
      <c r="AD47" s="175">
        <v>0</v>
      </c>
      <c r="AE47" s="175">
        <f>-2.5+0.027629</f>
        <v>-2.472371</v>
      </c>
      <c r="AF47" s="175">
        <v>0</v>
      </c>
      <c r="AG47" s="177">
        <f t="shared" si="95"/>
        <v>42.077628999999995</v>
      </c>
      <c r="AH47" s="179">
        <v>0</v>
      </c>
      <c r="AI47" s="175">
        <v>0</v>
      </c>
      <c r="AJ47" s="175">
        <v>-8.881</v>
      </c>
      <c r="AK47" s="175">
        <v>0</v>
      </c>
      <c r="AL47" s="177">
        <f t="shared" si="96"/>
        <v>33.196628999999994</v>
      </c>
      <c r="AM47" s="175">
        <v>0</v>
      </c>
      <c r="AN47" s="175">
        <v>0</v>
      </c>
      <c r="AO47" s="175">
        <v>0</v>
      </c>
      <c r="AP47" s="178">
        <f t="shared" si="97"/>
        <v>0</v>
      </c>
      <c r="AQ47" s="179">
        <f t="shared" si="98"/>
        <v>173</v>
      </c>
      <c r="AR47" s="175">
        <f t="shared" si="99"/>
        <v>139.803371</v>
      </c>
      <c r="AS47" s="175">
        <f t="shared" si="100"/>
        <v>33.196629</v>
      </c>
      <c r="AT47" s="180">
        <f t="shared" si="101"/>
        <v>0</v>
      </c>
      <c r="AU47" s="179">
        <v>0</v>
      </c>
      <c r="AV47" s="175">
        <v>0</v>
      </c>
      <c r="AW47" s="170">
        <v>-5.086</v>
      </c>
      <c r="AX47" s="175">
        <v>0</v>
      </c>
      <c r="AY47" s="176">
        <f t="shared" si="58"/>
        <v>28.110629000000003</v>
      </c>
      <c r="AZ47" s="175">
        <v>0</v>
      </c>
      <c r="BA47" s="175">
        <v>0</v>
      </c>
      <c r="BB47" s="175">
        <v>0</v>
      </c>
      <c r="BC47" s="178">
        <f t="shared" si="59"/>
        <v>0</v>
      </c>
      <c r="BD47" s="261">
        <v>0</v>
      </c>
      <c r="BE47" s="262">
        <v>0</v>
      </c>
      <c r="BF47" s="262">
        <v>-5.949</v>
      </c>
      <c r="BG47" s="262">
        <v>0</v>
      </c>
      <c r="BH47" s="296">
        <f t="shared" si="60"/>
        <v>22.161629000000005</v>
      </c>
      <c r="BI47" s="262">
        <v>0</v>
      </c>
      <c r="BJ47" s="262">
        <v>0</v>
      </c>
      <c r="BK47" s="262">
        <v>0</v>
      </c>
      <c r="BL47" s="307">
        <f t="shared" si="61"/>
        <v>0</v>
      </c>
      <c r="BM47" s="261">
        <v>0</v>
      </c>
      <c r="BN47" s="262">
        <v>0</v>
      </c>
      <c r="BO47" s="262">
        <v>-10.31225</v>
      </c>
      <c r="BP47" s="262">
        <v>0</v>
      </c>
      <c r="BQ47" s="296">
        <f t="shared" si="62"/>
        <v>11.849379000000004</v>
      </c>
      <c r="BR47" s="262">
        <v>0</v>
      </c>
      <c r="BS47" s="262">
        <v>0</v>
      </c>
      <c r="BT47" s="262">
        <v>0</v>
      </c>
      <c r="BU47" s="307">
        <f t="shared" si="84"/>
        <v>0</v>
      </c>
      <c r="BV47" s="272">
        <v>0</v>
      </c>
      <c r="BW47" s="262">
        <v>0</v>
      </c>
      <c r="BX47" s="262">
        <v>-0.667443</v>
      </c>
      <c r="BY47" s="262">
        <v>0</v>
      </c>
      <c r="BZ47" s="296">
        <f t="shared" si="64"/>
        <v>11.181936000000004</v>
      </c>
      <c r="CA47" s="262">
        <v>0</v>
      </c>
      <c r="CB47" s="262">
        <v>0</v>
      </c>
      <c r="CC47" s="262">
        <v>0</v>
      </c>
      <c r="CD47" s="307">
        <f t="shared" si="85"/>
        <v>0</v>
      </c>
      <c r="CE47" s="261">
        <f t="shared" si="86"/>
        <v>173</v>
      </c>
      <c r="CF47" s="263">
        <f t="shared" si="87"/>
        <v>161.81806400000002</v>
      </c>
      <c r="CG47" s="262">
        <f t="shared" si="88"/>
        <v>11.181935999999979</v>
      </c>
      <c r="CH47" s="181">
        <f t="shared" si="69"/>
        <v>0</v>
      </c>
      <c r="CI47" s="272">
        <v>0</v>
      </c>
      <c r="CJ47" s="262">
        <v>0</v>
      </c>
      <c r="CK47" s="262">
        <v>-2.165445</v>
      </c>
      <c r="CL47" s="262">
        <v>0</v>
      </c>
      <c r="CM47" s="296">
        <f t="shared" si="83"/>
        <v>9.016490999999979</v>
      </c>
      <c r="CN47" s="262">
        <v>0</v>
      </c>
      <c r="CO47" s="262">
        <v>0</v>
      </c>
      <c r="CP47" s="262">
        <v>0</v>
      </c>
      <c r="CQ47" s="307">
        <f t="shared" si="89"/>
        <v>0</v>
      </c>
      <c r="CR47" s="272">
        <v>0</v>
      </c>
      <c r="CS47" s="262">
        <v>0</v>
      </c>
      <c r="CT47" s="262">
        <f>-0.437452-0.103404</f>
        <v>-0.540856</v>
      </c>
      <c r="CU47" s="262">
        <v>0</v>
      </c>
      <c r="CV47" s="296">
        <f t="shared" si="78"/>
        <v>8.47563499999998</v>
      </c>
      <c r="CW47" s="262">
        <v>0</v>
      </c>
      <c r="CX47" s="262">
        <v>0</v>
      </c>
      <c r="CY47" s="262">
        <v>0</v>
      </c>
      <c r="CZ47" s="307">
        <f t="shared" si="102"/>
        <v>0</v>
      </c>
      <c r="DA47" s="272">
        <v>0</v>
      </c>
      <c r="DB47" s="262">
        <v>0</v>
      </c>
      <c r="DC47" s="262">
        <v>-0.109125</v>
      </c>
      <c r="DD47" s="262">
        <v>0</v>
      </c>
      <c r="DE47" s="296">
        <f t="shared" si="80"/>
        <v>8.366509999999979</v>
      </c>
      <c r="DF47" s="262">
        <v>0</v>
      </c>
      <c r="DG47" s="262">
        <v>0</v>
      </c>
      <c r="DH47" s="262">
        <v>0</v>
      </c>
      <c r="DI47" s="307">
        <f t="shared" si="103"/>
        <v>0</v>
      </c>
      <c r="DJ47" s="272">
        <f t="shared" si="71"/>
        <v>173</v>
      </c>
      <c r="DK47" s="262">
        <f t="shared" si="72"/>
        <v>164.63349000000002</v>
      </c>
      <c r="DL47" s="262">
        <f t="shared" si="90"/>
        <v>8.366509999999977</v>
      </c>
      <c r="DM47" s="181">
        <f t="shared" si="74"/>
        <v>0</v>
      </c>
      <c r="DN47" s="84"/>
      <c r="DO47" s="38"/>
      <c r="DP47" s="38"/>
      <c r="DQ47" s="38"/>
      <c r="DR47" s="38"/>
      <c r="DS47" s="38"/>
      <c r="DT47" s="38"/>
    </row>
    <row r="48" spans="2:118" s="38" customFormat="1" ht="12.75">
      <c r="B48" s="167" t="s">
        <v>30</v>
      </c>
      <c r="C48" s="168" t="s">
        <v>74</v>
      </c>
      <c r="D48" s="169">
        <v>0</v>
      </c>
      <c r="E48" s="170">
        <v>59.7</v>
      </c>
      <c r="F48" s="170">
        <v>-54.434</v>
      </c>
      <c r="G48" s="170">
        <v>0</v>
      </c>
      <c r="H48" s="171">
        <f t="shared" si="91"/>
        <v>5.266000000000005</v>
      </c>
      <c r="I48" s="169">
        <v>0</v>
      </c>
      <c r="J48" s="170">
        <v>0</v>
      </c>
      <c r="K48" s="170">
        <v>0</v>
      </c>
      <c r="L48" s="170">
        <v>0</v>
      </c>
      <c r="M48" s="170">
        <v>0</v>
      </c>
      <c r="N48" s="170">
        <v>0</v>
      </c>
      <c r="O48" s="171">
        <f t="shared" si="92"/>
        <v>5.266000000000005</v>
      </c>
      <c r="P48" s="172">
        <f t="shared" si="82"/>
        <v>59.7</v>
      </c>
      <c r="Q48" s="173">
        <f t="shared" si="77"/>
        <v>54.434</v>
      </c>
      <c r="R48" s="174">
        <f t="shared" si="50"/>
        <v>5.266000000000005</v>
      </c>
      <c r="S48" s="179">
        <v>0</v>
      </c>
      <c r="T48" s="175">
        <v>0</v>
      </c>
      <c r="U48" s="175">
        <v>0</v>
      </c>
      <c r="V48" s="175">
        <v>0</v>
      </c>
      <c r="W48" s="178">
        <f t="shared" si="93"/>
        <v>5.266000000000005</v>
      </c>
      <c r="X48" s="179">
        <v>0</v>
      </c>
      <c r="Y48" s="175">
        <v>0</v>
      </c>
      <c r="Z48" s="175">
        <v>0</v>
      </c>
      <c r="AA48" s="175">
        <v>0</v>
      </c>
      <c r="AB48" s="178">
        <f t="shared" si="94"/>
        <v>5.266000000000005</v>
      </c>
      <c r="AC48" s="179">
        <v>0</v>
      </c>
      <c r="AD48" s="170">
        <v>0</v>
      </c>
      <c r="AE48" s="170">
        <v>0</v>
      </c>
      <c r="AF48" s="175">
        <v>0</v>
      </c>
      <c r="AG48" s="177">
        <f t="shared" si="95"/>
        <v>5.266000000000005</v>
      </c>
      <c r="AH48" s="179">
        <v>0</v>
      </c>
      <c r="AI48" s="175">
        <v>0</v>
      </c>
      <c r="AJ48" s="175">
        <v>0</v>
      </c>
      <c r="AK48" s="175">
        <v>0</v>
      </c>
      <c r="AL48" s="177">
        <f t="shared" si="96"/>
        <v>5.266000000000005</v>
      </c>
      <c r="AM48" s="175">
        <v>0</v>
      </c>
      <c r="AN48" s="175">
        <v>0</v>
      </c>
      <c r="AO48" s="175">
        <v>0</v>
      </c>
      <c r="AP48" s="178">
        <f t="shared" si="97"/>
        <v>0</v>
      </c>
      <c r="AQ48" s="179">
        <f t="shared" si="98"/>
        <v>59.7</v>
      </c>
      <c r="AR48" s="175">
        <f t="shared" si="99"/>
        <v>54.434</v>
      </c>
      <c r="AS48" s="170">
        <f t="shared" si="100"/>
        <v>5.266000000000005</v>
      </c>
      <c r="AT48" s="180">
        <f t="shared" si="101"/>
        <v>0</v>
      </c>
      <c r="AU48" s="179">
        <v>0</v>
      </c>
      <c r="AV48" s="175">
        <v>0</v>
      </c>
      <c r="AW48" s="170">
        <v>0</v>
      </c>
      <c r="AX48" s="175">
        <v>-0.035</v>
      </c>
      <c r="AY48" s="176">
        <f t="shared" si="58"/>
        <v>5.231000000000005</v>
      </c>
      <c r="AZ48" s="175">
        <v>0</v>
      </c>
      <c r="BA48" s="175">
        <v>0</v>
      </c>
      <c r="BB48" s="175">
        <v>0</v>
      </c>
      <c r="BC48" s="178">
        <f t="shared" si="59"/>
        <v>0</v>
      </c>
      <c r="BD48" s="261">
        <v>0</v>
      </c>
      <c r="BE48" s="262">
        <v>0</v>
      </c>
      <c r="BF48" s="262">
        <v>0</v>
      </c>
      <c r="BG48" s="262">
        <v>0</v>
      </c>
      <c r="BH48" s="296">
        <f t="shared" si="60"/>
        <v>5.231000000000005</v>
      </c>
      <c r="BI48" s="262">
        <v>0</v>
      </c>
      <c r="BJ48" s="262">
        <v>0</v>
      </c>
      <c r="BK48" s="262">
        <v>0</v>
      </c>
      <c r="BL48" s="307">
        <f t="shared" si="61"/>
        <v>0</v>
      </c>
      <c r="BM48" s="261">
        <v>0</v>
      </c>
      <c r="BN48" s="262">
        <v>-5.23</v>
      </c>
      <c r="BO48" s="262">
        <v>0</v>
      </c>
      <c r="BP48" s="262">
        <v>0</v>
      </c>
      <c r="BQ48" s="296">
        <f t="shared" si="62"/>
        <v>0.0010000000000047748</v>
      </c>
      <c r="BR48" s="262">
        <v>0</v>
      </c>
      <c r="BS48" s="262">
        <v>0</v>
      </c>
      <c r="BT48" s="262">
        <v>0</v>
      </c>
      <c r="BU48" s="307">
        <f t="shared" si="84"/>
        <v>0</v>
      </c>
      <c r="BV48" s="272">
        <v>0</v>
      </c>
      <c r="BW48" s="262">
        <v>0</v>
      </c>
      <c r="BX48" s="262">
        <v>0</v>
      </c>
      <c r="BY48" s="262">
        <v>0</v>
      </c>
      <c r="BZ48" s="296">
        <f t="shared" si="64"/>
        <v>0.0010000000000047748</v>
      </c>
      <c r="CA48" s="262">
        <v>0</v>
      </c>
      <c r="CB48" s="262">
        <v>0</v>
      </c>
      <c r="CC48" s="262">
        <v>0</v>
      </c>
      <c r="CD48" s="307">
        <f t="shared" si="85"/>
        <v>0</v>
      </c>
      <c r="CE48" s="261">
        <f t="shared" si="86"/>
        <v>54.435</v>
      </c>
      <c r="CF48" s="263">
        <f t="shared" si="87"/>
        <v>54.434</v>
      </c>
      <c r="CG48" s="262">
        <f t="shared" si="88"/>
        <v>0.0010000000000047748</v>
      </c>
      <c r="CH48" s="181">
        <f t="shared" si="69"/>
        <v>0</v>
      </c>
      <c r="CI48" s="272">
        <v>0</v>
      </c>
      <c r="CJ48" s="262">
        <v>0</v>
      </c>
      <c r="CK48" s="262">
        <v>0</v>
      </c>
      <c r="CL48" s="262">
        <v>0</v>
      </c>
      <c r="CM48" s="296">
        <f t="shared" si="83"/>
        <v>0.0010000000000047748</v>
      </c>
      <c r="CN48" s="262">
        <v>0</v>
      </c>
      <c r="CO48" s="262">
        <v>0</v>
      </c>
      <c r="CP48" s="262">
        <v>0</v>
      </c>
      <c r="CQ48" s="307">
        <f t="shared" si="89"/>
        <v>0</v>
      </c>
      <c r="CR48" s="272">
        <v>0</v>
      </c>
      <c r="CS48" s="262">
        <v>0</v>
      </c>
      <c r="CT48" s="262">
        <v>0</v>
      </c>
      <c r="CU48" s="262">
        <v>0</v>
      </c>
      <c r="CV48" s="296">
        <f t="shared" si="78"/>
        <v>0.0010000000000047748</v>
      </c>
      <c r="CW48" s="262">
        <v>0</v>
      </c>
      <c r="CX48" s="262">
        <v>0</v>
      </c>
      <c r="CY48" s="262">
        <v>0</v>
      </c>
      <c r="CZ48" s="307">
        <f t="shared" si="102"/>
        <v>0</v>
      </c>
      <c r="DA48" s="272">
        <v>0</v>
      </c>
      <c r="DB48" s="262">
        <v>0</v>
      </c>
      <c r="DC48" s="262">
        <v>0</v>
      </c>
      <c r="DD48" s="262">
        <v>0</v>
      </c>
      <c r="DE48" s="296">
        <f t="shared" si="80"/>
        <v>0.0010000000000047748</v>
      </c>
      <c r="DF48" s="262">
        <v>0</v>
      </c>
      <c r="DG48" s="262">
        <v>0</v>
      </c>
      <c r="DH48" s="262">
        <v>0</v>
      </c>
      <c r="DI48" s="307">
        <f t="shared" si="103"/>
        <v>0</v>
      </c>
      <c r="DJ48" s="272">
        <f t="shared" si="71"/>
        <v>54.435</v>
      </c>
      <c r="DK48" s="262">
        <f t="shared" si="72"/>
        <v>54.434</v>
      </c>
      <c r="DL48" s="262">
        <f t="shared" si="90"/>
        <v>0.0010000000000047748</v>
      </c>
      <c r="DM48" s="181">
        <f t="shared" si="74"/>
        <v>0</v>
      </c>
      <c r="DN48" s="84"/>
    </row>
    <row r="49" spans="2:118" s="38" customFormat="1" ht="12.75">
      <c r="B49" s="167" t="s">
        <v>30</v>
      </c>
      <c r="C49" s="168" t="s">
        <v>71</v>
      </c>
      <c r="D49" s="169">
        <v>0</v>
      </c>
      <c r="E49" s="170">
        <f>1410.1+10-240</f>
        <v>1180.1</v>
      </c>
      <c r="F49" s="170">
        <f>-180+140</f>
        <v>-40</v>
      </c>
      <c r="G49" s="170">
        <v>0</v>
      </c>
      <c r="H49" s="171">
        <f t="shared" si="9"/>
        <v>1140.1</v>
      </c>
      <c r="I49" s="169">
        <v>0</v>
      </c>
      <c r="J49" s="170">
        <f>-7.1-10</f>
        <v>-17.1</v>
      </c>
      <c r="K49" s="170">
        <v>-40.8</v>
      </c>
      <c r="L49" s="170">
        <v>0</v>
      </c>
      <c r="M49" s="170">
        <v>0</v>
      </c>
      <c r="N49" s="170">
        <v>0</v>
      </c>
      <c r="O49" s="171">
        <f t="shared" si="10"/>
        <v>1082.2</v>
      </c>
      <c r="P49" s="172">
        <f t="shared" si="82"/>
        <v>1163</v>
      </c>
      <c r="Q49" s="173">
        <f t="shared" si="77"/>
        <v>80.8</v>
      </c>
      <c r="R49" s="174">
        <f t="shared" si="50"/>
        <v>1082.2</v>
      </c>
      <c r="S49" s="179">
        <v>0</v>
      </c>
      <c r="T49" s="170">
        <v>0</v>
      </c>
      <c r="U49" s="170">
        <v>-7</v>
      </c>
      <c r="V49" s="175">
        <v>0</v>
      </c>
      <c r="W49" s="178">
        <f t="shared" si="51"/>
        <v>1075.2</v>
      </c>
      <c r="X49" s="179">
        <v>0</v>
      </c>
      <c r="Y49" s="175">
        <v>0</v>
      </c>
      <c r="Z49" s="175">
        <v>-16.25</v>
      </c>
      <c r="AA49" s="175">
        <v>-0.1</v>
      </c>
      <c r="AB49" s="178">
        <f>SUM(W49,Y49:AA49)</f>
        <v>1058.8500000000001</v>
      </c>
      <c r="AC49" s="179">
        <v>0</v>
      </c>
      <c r="AD49" s="175">
        <v>0</v>
      </c>
      <c r="AE49" s="175">
        <v>-0.217</v>
      </c>
      <c r="AF49" s="175">
        <v>0</v>
      </c>
      <c r="AG49" s="177">
        <f t="shared" si="53"/>
        <v>1058.633</v>
      </c>
      <c r="AH49" s="179">
        <v>0</v>
      </c>
      <c r="AI49" s="175">
        <v>0</v>
      </c>
      <c r="AJ49" s="170">
        <v>-0.347</v>
      </c>
      <c r="AK49" s="175">
        <v>0</v>
      </c>
      <c r="AL49" s="177">
        <f t="shared" si="75"/>
        <v>1058.286</v>
      </c>
      <c r="AM49" s="175">
        <v>0</v>
      </c>
      <c r="AN49" s="175">
        <v>0</v>
      </c>
      <c r="AO49" s="175">
        <v>0</v>
      </c>
      <c r="AP49" s="178">
        <f t="shared" si="76"/>
        <v>0</v>
      </c>
      <c r="AQ49" s="179">
        <f t="shared" si="54"/>
        <v>1162.9</v>
      </c>
      <c r="AR49" s="175">
        <f t="shared" si="55"/>
        <v>104.614</v>
      </c>
      <c r="AS49" s="170">
        <f t="shared" si="56"/>
        <v>1058.286</v>
      </c>
      <c r="AT49" s="180">
        <f t="shared" si="57"/>
        <v>0</v>
      </c>
      <c r="AU49" s="179">
        <v>0</v>
      </c>
      <c r="AV49" s="175">
        <v>0</v>
      </c>
      <c r="AW49" s="170">
        <v>-0.6</v>
      </c>
      <c r="AX49" s="175">
        <v>-0.285</v>
      </c>
      <c r="AY49" s="176">
        <f t="shared" si="58"/>
        <v>1057.401</v>
      </c>
      <c r="AZ49" s="175">
        <v>0</v>
      </c>
      <c r="BA49" s="175">
        <v>0</v>
      </c>
      <c r="BB49" s="175">
        <v>0</v>
      </c>
      <c r="BC49" s="178">
        <f t="shared" si="59"/>
        <v>0</v>
      </c>
      <c r="BD49" s="261">
        <v>0</v>
      </c>
      <c r="BE49" s="262">
        <v>0</v>
      </c>
      <c r="BF49" s="262">
        <v>-39.175</v>
      </c>
      <c r="BG49" s="262">
        <v>0</v>
      </c>
      <c r="BH49" s="296">
        <f t="shared" si="60"/>
        <v>1018.2260000000001</v>
      </c>
      <c r="BI49" s="262">
        <v>0</v>
      </c>
      <c r="BJ49" s="262">
        <v>0</v>
      </c>
      <c r="BK49" s="262">
        <v>0</v>
      </c>
      <c r="BL49" s="307">
        <f t="shared" si="61"/>
        <v>0</v>
      </c>
      <c r="BM49" s="261">
        <v>0</v>
      </c>
      <c r="BN49" s="262">
        <v>0</v>
      </c>
      <c r="BO49" s="262">
        <v>-0.023</v>
      </c>
      <c r="BP49" s="262">
        <v>0</v>
      </c>
      <c r="BQ49" s="296">
        <f t="shared" si="62"/>
        <v>1018.2030000000001</v>
      </c>
      <c r="BR49" s="262">
        <v>0</v>
      </c>
      <c r="BS49" s="262">
        <v>0</v>
      </c>
      <c r="BT49" s="262">
        <v>0</v>
      </c>
      <c r="BU49" s="307">
        <f t="shared" si="84"/>
        <v>0</v>
      </c>
      <c r="BV49" s="272">
        <v>0</v>
      </c>
      <c r="BW49" s="262">
        <v>0</v>
      </c>
      <c r="BX49" s="262">
        <f>-5.022895-BX50</f>
        <v>-0.005615999999999843</v>
      </c>
      <c r="BY49" s="262">
        <v>0</v>
      </c>
      <c r="BZ49" s="296">
        <f t="shared" si="64"/>
        <v>1018.197384</v>
      </c>
      <c r="CA49" s="262">
        <v>0</v>
      </c>
      <c r="CB49" s="262">
        <v>0</v>
      </c>
      <c r="CC49" s="262">
        <v>0</v>
      </c>
      <c r="CD49" s="307">
        <f t="shared" si="85"/>
        <v>0</v>
      </c>
      <c r="CE49" s="261">
        <f t="shared" si="86"/>
        <v>1162.615</v>
      </c>
      <c r="CF49" s="263">
        <f t="shared" si="87"/>
        <v>144.417616</v>
      </c>
      <c r="CG49" s="262">
        <f t="shared" si="88"/>
        <v>1018.197384</v>
      </c>
      <c r="CH49" s="181">
        <f t="shared" si="69"/>
        <v>0</v>
      </c>
      <c r="CI49" s="272">
        <v>0</v>
      </c>
      <c r="CJ49" s="262">
        <v>0</v>
      </c>
      <c r="CK49" s="262">
        <v>-9.882696</v>
      </c>
      <c r="CL49" s="262">
        <v>0</v>
      </c>
      <c r="CM49" s="296">
        <f t="shared" si="83"/>
        <v>1008.314688</v>
      </c>
      <c r="CN49" s="262">
        <v>0</v>
      </c>
      <c r="CO49" s="262">
        <v>0</v>
      </c>
      <c r="CP49" s="262">
        <v>0</v>
      </c>
      <c r="CQ49" s="307">
        <f t="shared" si="89"/>
        <v>0</v>
      </c>
      <c r="CR49" s="272">
        <v>0</v>
      </c>
      <c r="CS49" s="262">
        <v>0</v>
      </c>
      <c r="CT49" s="262">
        <v>-0.016854</v>
      </c>
      <c r="CU49" s="262">
        <v>0</v>
      </c>
      <c r="CV49" s="296">
        <f t="shared" si="78"/>
        <v>1008.2978340000001</v>
      </c>
      <c r="CW49" s="262">
        <v>0</v>
      </c>
      <c r="CX49" s="262">
        <v>0</v>
      </c>
      <c r="CY49" s="262">
        <v>0</v>
      </c>
      <c r="CZ49" s="307">
        <f t="shared" si="102"/>
        <v>0</v>
      </c>
      <c r="DA49" s="272">
        <v>0</v>
      </c>
      <c r="DB49" s="262">
        <v>0</v>
      </c>
      <c r="DC49" s="262">
        <v>-0.016809</v>
      </c>
      <c r="DD49" s="262">
        <v>0</v>
      </c>
      <c r="DE49" s="296">
        <f t="shared" si="80"/>
        <v>1008.2810250000001</v>
      </c>
      <c r="DF49" s="262">
        <v>0</v>
      </c>
      <c r="DG49" s="262">
        <v>0</v>
      </c>
      <c r="DH49" s="262">
        <v>0</v>
      </c>
      <c r="DI49" s="307">
        <f t="shared" si="103"/>
        <v>0</v>
      </c>
      <c r="DJ49" s="272">
        <f t="shared" si="71"/>
        <v>1162.615</v>
      </c>
      <c r="DK49" s="262">
        <f t="shared" si="72"/>
        <v>154.333975</v>
      </c>
      <c r="DL49" s="262">
        <f t="shared" si="90"/>
        <v>1008.281025</v>
      </c>
      <c r="DM49" s="181">
        <f t="shared" si="74"/>
        <v>0</v>
      </c>
      <c r="DN49" s="84"/>
    </row>
    <row r="50" spans="2:118" s="38" customFormat="1" ht="12.75">
      <c r="B50" s="167" t="s">
        <v>30</v>
      </c>
      <c r="C50" s="168" t="s">
        <v>72</v>
      </c>
      <c r="D50" s="169">
        <v>0</v>
      </c>
      <c r="E50" s="170">
        <v>240</v>
      </c>
      <c r="F50" s="170">
        <v>-140</v>
      </c>
      <c r="G50" s="170">
        <v>0</v>
      </c>
      <c r="H50" s="171">
        <f t="shared" si="9"/>
        <v>100</v>
      </c>
      <c r="I50" s="169">
        <v>0</v>
      </c>
      <c r="J50" s="170">
        <v>0</v>
      </c>
      <c r="K50" s="170">
        <v>0</v>
      </c>
      <c r="L50" s="170">
        <v>0</v>
      </c>
      <c r="M50" s="170">
        <v>0</v>
      </c>
      <c r="N50" s="170">
        <v>0</v>
      </c>
      <c r="O50" s="171">
        <f t="shared" si="10"/>
        <v>100</v>
      </c>
      <c r="P50" s="172">
        <f t="shared" si="82"/>
        <v>240</v>
      </c>
      <c r="Q50" s="173">
        <f t="shared" si="77"/>
        <v>140</v>
      </c>
      <c r="R50" s="174">
        <f t="shared" si="50"/>
        <v>100</v>
      </c>
      <c r="S50" s="179">
        <v>0</v>
      </c>
      <c r="T50" s="170">
        <v>0</v>
      </c>
      <c r="U50" s="170">
        <f>-51.138+0.000279</f>
        <v>-51.137721</v>
      </c>
      <c r="V50" s="175">
        <v>0</v>
      </c>
      <c r="W50" s="178">
        <f t="shared" si="51"/>
        <v>48.862279</v>
      </c>
      <c r="X50" s="179">
        <v>0</v>
      </c>
      <c r="Y50" s="175">
        <v>0</v>
      </c>
      <c r="Z50" s="175">
        <v>0</v>
      </c>
      <c r="AA50" s="175">
        <v>0</v>
      </c>
      <c r="AB50" s="178">
        <f>SUM(W50,Y50:AA50)</f>
        <v>48.862279</v>
      </c>
      <c r="AC50" s="179">
        <v>0</v>
      </c>
      <c r="AD50" s="170">
        <v>0</v>
      </c>
      <c r="AE50" s="170">
        <v>0</v>
      </c>
      <c r="AF50" s="175">
        <v>0</v>
      </c>
      <c r="AG50" s="177">
        <f t="shared" si="53"/>
        <v>48.862279</v>
      </c>
      <c r="AH50" s="179">
        <v>0</v>
      </c>
      <c r="AI50" s="175">
        <v>0</v>
      </c>
      <c r="AJ50" s="175">
        <v>0</v>
      </c>
      <c r="AK50" s="175">
        <v>0</v>
      </c>
      <c r="AL50" s="177">
        <f t="shared" si="75"/>
        <v>48.862279</v>
      </c>
      <c r="AM50" s="175">
        <v>0</v>
      </c>
      <c r="AN50" s="175">
        <v>0</v>
      </c>
      <c r="AO50" s="175">
        <v>0</v>
      </c>
      <c r="AP50" s="178">
        <f t="shared" si="76"/>
        <v>0</v>
      </c>
      <c r="AQ50" s="179">
        <f t="shared" si="54"/>
        <v>240</v>
      </c>
      <c r="AR50" s="175">
        <f t="shared" si="55"/>
        <v>191.137721</v>
      </c>
      <c r="AS50" s="170">
        <f t="shared" si="56"/>
        <v>48.862279</v>
      </c>
      <c r="AT50" s="180">
        <f t="shared" si="57"/>
        <v>0</v>
      </c>
      <c r="AU50" s="179">
        <v>0</v>
      </c>
      <c r="AV50" s="175">
        <v>0</v>
      </c>
      <c r="AW50" s="170">
        <v>-43.845</v>
      </c>
      <c r="AX50" s="175">
        <v>0</v>
      </c>
      <c r="AY50" s="176">
        <f t="shared" si="58"/>
        <v>5.017279000000002</v>
      </c>
      <c r="AZ50" s="175">
        <v>0</v>
      </c>
      <c r="BA50" s="175">
        <v>0</v>
      </c>
      <c r="BB50" s="175">
        <v>0</v>
      </c>
      <c r="BC50" s="178">
        <f t="shared" si="59"/>
        <v>0</v>
      </c>
      <c r="BD50" s="261">
        <v>0</v>
      </c>
      <c r="BE50" s="262">
        <v>0</v>
      </c>
      <c r="BF50" s="262">
        <v>0</v>
      </c>
      <c r="BG50" s="262">
        <v>0</v>
      </c>
      <c r="BH50" s="296">
        <f t="shared" si="60"/>
        <v>5.017279000000002</v>
      </c>
      <c r="BI50" s="262">
        <v>0</v>
      </c>
      <c r="BJ50" s="262">
        <v>0</v>
      </c>
      <c r="BK50" s="262">
        <v>0</v>
      </c>
      <c r="BL50" s="307">
        <f t="shared" si="61"/>
        <v>0</v>
      </c>
      <c r="BM50" s="261">
        <v>0</v>
      </c>
      <c r="BN50" s="262">
        <v>0</v>
      </c>
      <c r="BO50" s="262">
        <v>0</v>
      </c>
      <c r="BP50" s="262">
        <v>0</v>
      </c>
      <c r="BQ50" s="296">
        <f t="shared" si="62"/>
        <v>5.017279000000002</v>
      </c>
      <c r="BR50" s="262">
        <v>0</v>
      </c>
      <c r="BS50" s="262">
        <v>0</v>
      </c>
      <c r="BT50" s="262">
        <v>0</v>
      </c>
      <c r="BU50" s="307">
        <f t="shared" si="84"/>
        <v>0</v>
      </c>
      <c r="BV50" s="272">
        <v>0</v>
      </c>
      <c r="BW50" s="262">
        <v>0</v>
      </c>
      <c r="BX50" s="262">
        <v>-5.017279</v>
      </c>
      <c r="BY50" s="262">
        <v>0</v>
      </c>
      <c r="BZ50" s="296">
        <f t="shared" si="64"/>
        <v>1.7763568394002505E-15</v>
      </c>
      <c r="CA50" s="262">
        <v>0</v>
      </c>
      <c r="CB50" s="262">
        <v>0</v>
      </c>
      <c r="CC50" s="262">
        <v>0</v>
      </c>
      <c r="CD50" s="307">
        <f t="shared" si="85"/>
        <v>0</v>
      </c>
      <c r="CE50" s="261">
        <f t="shared" si="86"/>
        <v>240</v>
      </c>
      <c r="CF50" s="263">
        <f t="shared" si="87"/>
        <v>240</v>
      </c>
      <c r="CG50" s="262">
        <f t="shared" si="88"/>
        <v>0</v>
      </c>
      <c r="CH50" s="181">
        <f t="shared" si="69"/>
        <v>0</v>
      </c>
      <c r="CI50" s="272">
        <v>0</v>
      </c>
      <c r="CJ50" s="262">
        <v>0</v>
      </c>
      <c r="CK50" s="262">
        <v>0</v>
      </c>
      <c r="CL50" s="262">
        <v>0</v>
      </c>
      <c r="CM50" s="296">
        <f t="shared" si="83"/>
        <v>0</v>
      </c>
      <c r="CN50" s="262">
        <v>0</v>
      </c>
      <c r="CO50" s="262">
        <v>0</v>
      </c>
      <c r="CP50" s="262">
        <v>0</v>
      </c>
      <c r="CQ50" s="307">
        <f t="shared" si="89"/>
        <v>0</v>
      </c>
      <c r="CR50" s="272">
        <v>0</v>
      </c>
      <c r="CS50" s="262">
        <v>0</v>
      </c>
      <c r="CT50" s="262">
        <v>0</v>
      </c>
      <c r="CU50" s="262">
        <v>0</v>
      </c>
      <c r="CV50" s="296">
        <f t="shared" si="78"/>
        <v>0</v>
      </c>
      <c r="CW50" s="262">
        <v>0</v>
      </c>
      <c r="CX50" s="262">
        <v>0</v>
      </c>
      <c r="CY50" s="262">
        <v>0</v>
      </c>
      <c r="CZ50" s="307">
        <f t="shared" si="102"/>
        <v>0</v>
      </c>
      <c r="DA50" s="272">
        <v>0</v>
      </c>
      <c r="DB50" s="262">
        <v>0</v>
      </c>
      <c r="DC50" s="262">
        <v>0</v>
      </c>
      <c r="DD50" s="262">
        <v>0</v>
      </c>
      <c r="DE50" s="296">
        <f t="shared" si="80"/>
        <v>0</v>
      </c>
      <c r="DF50" s="262">
        <v>0</v>
      </c>
      <c r="DG50" s="262">
        <v>0</v>
      </c>
      <c r="DH50" s="262">
        <v>0</v>
      </c>
      <c r="DI50" s="307">
        <f t="shared" si="103"/>
        <v>0</v>
      </c>
      <c r="DJ50" s="272">
        <f t="shared" si="71"/>
        <v>240</v>
      </c>
      <c r="DK50" s="262">
        <f t="shared" si="72"/>
        <v>240</v>
      </c>
      <c r="DL50" s="262">
        <f t="shared" si="90"/>
        <v>0</v>
      </c>
      <c r="DM50" s="181">
        <f t="shared" si="74"/>
        <v>0</v>
      </c>
      <c r="DN50" s="84"/>
    </row>
    <row r="51" spans="2:122" s="38" customFormat="1" ht="12.75">
      <c r="B51" s="167" t="s">
        <v>30</v>
      </c>
      <c r="C51" s="168" t="s">
        <v>117</v>
      </c>
      <c r="D51" s="169"/>
      <c r="E51" s="170"/>
      <c r="F51" s="170"/>
      <c r="G51" s="170"/>
      <c r="H51" s="171"/>
      <c r="I51" s="169"/>
      <c r="J51" s="170"/>
      <c r="K51" s="170"/>
      <c r="L51" s="170"/>
      <c r="M51" s="170"/>
      <c r="N51" s="170"/>
      <c r="O51" s="171"/>
      <c r="P51" s="172"/>
      <c r="Q51" s="173"/>
      <c r="R51" s="174"/>
      <c r="S51" s="347"/>
      <c r="T51" s="170"/>
      <c r="U51" s="170"/>
      <c r="V51" s="348"/>
      <c r="W51" s="349"/>
      <c r="X51" s="347"/>
      <c r="Y51" s="348"/>
      <c r="Z51" s="348"/>
      <c r="AA51" s="348"/>
      <c r="AB51" s="349"/>
      <c r="AC51" s="347"/>
      <c r="AD51" s="170"/>
      <c r="AE51" s="170"/>
      <c r="AF51" s="348"/>
      <c r="AG51" s="350"/>
      <c r="AH51" s="347"/>
      <c r="AI51" s="348"/>
      <c r="AJ51" s="348"/>
      <c r="AK51" s="348"/>
      <c r="AL51" s="350"/>
      <c r="AM51" s="348"/>
      <c r="AN51" s="348"/>
      <c r="AO51" s="348"/>
      <c r="AP51" s="349"/>
      <c r="AQ51" s="347"/>
      <c r="AR51" s="348"/>
      <c r="AS51" s="170"/>
      <c r="AT51" s="180"/>
      <c r="AU51" s="347"/>
      <c r="AV51" s="348"/>
      <c r="AW51" s="170"/>
      <c r="AX51" s="348"/>
      <c r="AY51" s="176"/>
      <c r="AZ51" s="348"/>
      <c r="BA51" s="348"/>
      <c r="BB51" s="348"/>
      <c r="BC51" s="349"/>
      <c r="BD51" s="351"/>
      <c r="BE51" s="262"/>
      <c r="BF51" s="262"/>
      <c r="BG51" s="262"/>
      <c r="BH51" s="296"/>
      <c r="BI51" s="262"/>
      <c r="BJ51" s="262"/>
      <c r="BK51" s="262"/>
      <c r="BL51" s="307"/>
      <c r="BM51" s="351"/>
      <c r="BN51" s="262"/>
      <c r="BO51" s="262"/>
      <c r="BP51" s="262"/>
      <c r="BQ51" s="296"/>
      <c r="BR51" s="262"/>
      <c r="BS51" s="262"/>
      <c r="BT51" s="262"/>
      <c r="BU51" s="307"/>
      <c r="BV51" s="272"/>
      <c r="BW51" s="262"/>
      <c r="BX51" s="262"/>
      <c r="BY51" s="262"/>
      <c r="BZ51" s="296"/>
      <c r="CA51" s="262"/>
      <c r="CB51" s="262"/>
      <c r="CC51" s="262"/>
      <c r="CD51" s="307"/>
      <c r="CE51" s="351"/>
      <c r="CF51" s="352"/>
      <c r="CG51" s="262"/>
      <c r="CH51" s="181"/>
      <c r="CI51" s="272"/>
      <c r="CJ51" s="262"/>
      <c r="CK51" s="262"/>
      <c r="CL51" s="262"/>
      <c r="CM51" s="296"/>
      <c r="CN51" s="262"/>
      <c r="CO51" s="262"/>
      <c r="CP51" s="262"/>
      <c r="CQ51" s="307"/>
      <c r="CR51" s="272">
        <v>0</v>
      </c>
      <c r="CS51" s="262">
        <v>0</v>
      </c>
      <c r="CT51" s="262">
        <f>-11.966+8.47</f>
        <v>-3.4959999999999987</v>
      </c>
      <c r="CU51" s="262">
        <v>5.23</v>
      </c>
      <c r="CV51" s="296">
        <f t="shared" si="78"/>
        <v>1.7340000000000018</v>
      </c>
      <c r="CW51" s="262">
        <v>0</v>
      </c>
      <c r="CX51" s="262">
        <v>0</v>
      </c>
      <c r="CY51" s="262">
        <v>0</v>
      </c>
      <c r="CZ51" s="307">
        <f t="shared" si="102"/>
        <v>0</v>
      </c>
      <c r="DA51" s="272">
        <v>0</v>
      </c>
      <c r="DB51" s="262">
        <v>0</v>
      </c>
      <c r="DC51" s="262">
        <v>-0.152377</v>
      </c>
      <c r="DD51" s="262">
        <v>0</v>
      </c>
      <c r="DE51" s="296">
        <f t="shared" si="80"/>
        <v>1.5816230000000018</v>
      </c>
      <c r="DF51" s="262">
        <v>0</v>
      </c>
      <c r="DG51" s="262">
        <v>0</v>
      </c>
      <c r="DH51" s="262">
        <v>0</v>
      </c>
      <c r="DI51" s="307">
        <f t="shared" si="103"/>
        <v>0</v>
      </c>
      <c r="DJ51" s="272">
        <f t="shared" si="71"/>
        <v>5.23</v>
      </c>
      <c r="DK51" s="262">
        <f t="shared" si="72"/>
        <v>3.6483769999999986</v>
      </c>
      <c r="DL51" s="262">
        <f t="shared" si="90"/>
        <v>1.5816230000000018</v>
      </c>
      <c r="DM51" s="181">
        <f t="shared" si="74"/>
        <v>0</v>
      </c>
      <c r="DN51" s="84"/>
      <c r="DO51" s="353"/>
      <c r="DP51" s="354"/>
      <c r="DR51" s="362"/>
    </row>
    <row r="52" spans="2:124" s="33" customFormat="1" ht="12.75">
      <c r="B52" s="167" t="s">
        <v>30</v>
      </c>
      <c r="C52" s="168" t="s">
        <v>73</v>
      </c>
      <c r="D52" s="169">
        <v>0</v>
      </c>
      <c r="E52" s="170">
        <v>10500</v>
      </c>
      <c r="F52" s="170">
        <v>-2721.1</v>
      </c>
      <c r="G52" s="170">
        <v>0</v>
      </c>
      <c r="H52" s="171">
        <f t="shared" si="9"/>
        <v>7778.9</v>
      </c>
      <c r="I52" s="169">
        <v>0</v>
      </c>
      <c r="J52" s="175">
        <f>-68.8-2300-2508.1</f>
        <v>-4876.9</v>
      </c>
      <c r="K52" s="170">
        <v>-2902</v>
      </c>
      <c r="L52" s="170">
        <v>0</v>
      </c>
      <c r="M52" s="170">
        <v>0</v>
      </c>
      <c r="N52" s="170">
        <v>0</v>
      </c>
      <c r="O52" s="171">
        <f t="shared" si="10"/>
        <v>0</v>
      </c>
      <c r="P52" s="172">
        <f t="shared" si="82"/>
        <v>5623.1</v>
      </c>
      <c r="Q52" s="173">
        <f t="shared" si="77"/>
        <v>5623.1</v>
      </c>
      <c r="R52" s="174">
        <f t="shared" si="50"/>
        <v>0</v>
      </c>
      <c r="S52" s="179">
        <v>0</v>
      </c>
      <c r="T52" s="170">
        <v>240</v>
      </c>
      <c r="U52" s="170">
        <v>-338.462</v>
      </c>
      <c r="V52" s="175">
        <v>0</v>
      </c>
      <c r="W52" s="178">
        <f t="shared" si="51"/>
        <v>-98.46199999999999</v>
      </c>
      <c r="X52" s="179">
        <v>0</v>
      </c>
      <c r="Y52" s="175">
        <v>0</v>
      </c>
      <c r="Z52" s="175">
        <f>-376.727-Z64-Z66+0.436134</f>
        <v>-370.16393999999997</v>
      </c>
      <c r="AA52" s="175">
        <v>0</v>
      </c>
      <c r="AB52" s="178">
        <f aca="true" t="shared" si="104" ref="AB52:AB72">SUM(W52,Y52:AA52)</f>
        <v>-468.62593999999996</v>
      </c>
      <c r="AC52" s="179">
        <v>0</v>
      </c>
      <c r="AD52" s="175">
        <v>0</v>
      </c>
      <c r="AE52" s="175">
        <f>-13.794</f>
        <v>-13.794</v>
      </c>
      <c r="AF52" s="175">
        <v>0</v>
      </c>
      <c r="AG52" s="177">
        <f t="shared" si="53"/>
        <v>-482.41993999999994</v>
      </c>
      <c r="AH52" s="179">
        <v>0</v>
      </c>
      <c r="AI52" s="175">
        <v>0</v>
      </c>
      <c r="AJ52" s="170">
        <f>-0.2+67+0.1</f>
        <v>66.89999999999999</v>
      </c>
      <c r="AK52" s="175">
        <v>0</v>
      </c>
      <c r="AL52" s="177">
        <f t="shared" si="75"/>
        <v>-415.51993999999996</v>
      </c>
      <c r="AM52" s="175">
        <v>0</v>
      </c>
      <c r="AN52" s="175">
        <v>0</v>
      </c>
      <c r="AO52" s="175">
        <v>0</v>
      </c>
      <c r="AP52" s="178">
        <f t="shared" si="76"/>
        <v>0</v>
      </c>
      <c r="AQ52" s="179">
        <f t="shared" si="54"/>
        <v>5863.1</v>
      </c>
      <c r="AR52" s="175">
        <f t="shared" si="55"/>
        <v>6278.6199400000005</v>
      </c>
      <c r="AS52" s="170">
        <f t="shared" si="56"/>
        <v>-415.51994000000013</v>
      </c>
      <c r="AT52" s="180">
        <f t="shared" si="57"/>
        <v>0</v>
      </c>
      <c r="AU52" s="179">
        <v>0</v>
      </c>
      <c r="AV52" s="175">
        <v>0</v>
      </c>
      <c r="AW52" s="170">
        <v>-0.69</v>
      </c>
      <c r="AX52" s="175">
        <v>0.446</v>
      </c>
      <c r="AY52" s="176">
        <f t="shared" si="58"/>
        <v>-415.7639400000001</v>
      </c>
      <c r="AZ52" s="175">
        <v>0</v>
      </c>
      <c r="BA52" s="175">
        <v>0</v>
      </c>
      <c r="BB52" s="175">
        <v>0</v>
      </c>
      <c r="BC52" s="178">
        <f t="shared" si="59"/>
        <v>0</v>
      </c>
      <c r="BD52" s="261">
        <v>0</v>
      </c>
      <c r="BE52" s="262">
        <v>0</v>
      </c>
      <c r="BF52" s="262">
        <v>0.647</v>
      </c>
      <c r="BG52" s="262">
        <v>0</v>
      </c>
      <c r="BH52" s="296">
        <f t="shared" si="60"/>
        <v>-415.1169400000001</v>
      </c>
      <c r="BI52" s="262">
        <v>0</v>
      </c>
      <c r="BJ52" s="262">
        <v>0</v>
      </c>
      <c r="BK52" s="262">
        <v>0</v>
      </c>
      <c r="BL52" s="307">
        <f t="shared" si="61"/>
        <v>0</v>
      </c>
      <c r="BM52" s="261">
        <v>0</v>
      </c>
      <c r="BN52" s="262">
        <v>0</v>
      </c>
      <c r="BO52" s="262">
        <f>-3.677287+0.02794</f>
        <v>-3.649347</v>
      </c>
      <c r="BP52" s="262">
        <v>0</v>
      </c>
      <c r="BQ52" s="296">
        <f t="shared" si="62"/>
        <v>-418.7662870000001</v>
      </c>
      <c r="BR52" s="262">
        <v>0</v>
      </c>
      <c r="BS52" s="262">
        <v>0</v>
      </c>
      <c r="BT52" s="262">
        <v>0</v>
      </c>
      <c r="BU52" s="307">
        <f t="shared" si="84"/>
        <v>0</v>
      </c>
      <c r="BV52" s="272">
        <v>0</v>
      </c>
      <c r="BW52" s="262">
        <v>0</v>
      </c>
      <c r="BX52" s="262">
        <v>0.077402</v>
      </c>
      <c r="BY52" s="262">
        <v>0</v>
      </c>
      <c r="BZ52" s="296">
        <f t="shared" si="64"/>
        <v>-418.6888850000001</v>
      </c>
      <c r="CA52" s="262">
        <v>0</v>
      </c>
      <c r="CB52" s="262">
        <v>0</v>
      </c>
      <c r="CC52" s="262">
        <v>0</v>
      </c>
      <c r="CD52" s="307">
        <f t="shared" si="85"/>
        <v>0</v>
      </c>
      <c r="CE52" s="261">
        <f t="shared" si="86"/>
        <v>5863.546</v>
      </c>
      <c r="CF52" s="263">
        <f t="shared" si="87"/>
        <v>6282.234885</v>
      </c>
      <c r="CG52" s="262">
        <f t="shared" si="88"/>
        <v>-418.6888849999996</v>
      </c>
      <c r="CH52" s="181">
        <f t="shared" si="69"/>
        <v>0</v>
      </c>
      <c r="CI52" s="272">
        <v>0</v>
      </c>
      <c r="CJ52" s="262">
        <v>0</v>
      </c>
      <c r="CK52" s="262">
        <v>0.043</v>
      </c>
      <c r="CL52" s="262">
        <v>0</v>
      </c>
      <c r="CM52" s="296">
        <f t="shared" si="83"/>
        <v>-418.64588499999957</v>
      </c>
      <c r="CN52" s="262">
        <v>0</v>
      </c>
      <c r="CO52" s="262">
        <v>0</v>
      </c>
      <c r="CP52" s="262">
        <v>0</v>
      </c>
      <c r="CQ52" s="307">
        <f t="shared" si="89"/>
        <v>0</v>
      </c>
      <c r="CR52" s="272">
        <v>0</v>
      </c>
      <c r="CS52" s="262">
        <v>0</v>
      </c>
      <c r="CT52" s="262">
        <v>-0.023</v>
      </c>
      <c r="CU52" s="262">
        <v>0</v>
      </c>
      <c r="CV52" s="296">
        <f t="shared" si="78"/>
        <v>-418.6688849999996</v>
      </c>
      <c r="CW52" s="262">
        <v>0</v>
      </c>
      <c r="CX52" s="262">
        <v>0</v>
      </c>
      <c r="CY52" s="262">
        <v>0</v>
      </c>
      <c r="CZ52" s="307">
        <f t="shared" si="102"/>
        <v>0</v>
      </c>
      <c r="DA52" s="272">
        <v>0</v>
      </c>
      <c r="DB52" s="262">
        <v>0</v>
      </c>
      <c r="DC52" s="262">
        <v>0.404</v>
      </c>
      <c r="DD52" s="262">
        <v>0</v>
      </c>
      <c r="DE52" s="296">
        <f t="shared" si="80"/>
        <v>-418.2648849999996</v>
      </c>
      <c r="DF52" s="262">
        <v>0</v>
      </c>
      <c r="DG52" s="262">
        <v>0</v>
      </c>
      <c r="DH52" s="262">
        <v>0</v>
      </c>
      <c r="DI52" s="307">
        <f t="shared" si="103"/>
        <v>0</v>
      </c>
      <c r="DJ52" s="272">
        <f t="shared" si="71"/>
        <v>5863.546</v>
      </c>
      <c r="DK52" s="262">
        <f t="shared" si="72"/>
        <v>6281.810885</v>
      </c>
      <c r="DL52" s="262">
        <f t="shared" si="90"/>
        <v>-418.2648849999996</v>
      </c>
      <c r="DM52" s="181">
        <f t="shared" si="74"/>
        <v>0</v>
      </c>
      <c r="DN52" s="84"/>
      <c r="DO52" s="38"/>
      <c r="DP52" s="38"/>
      <c r="DQ52" s="38"/>
      <c r="DR52" s="38"/>
      <c r="DS52" s="38"/>
      <c r="DT52" s="38"/>
    </row>
    <row r="53" spans="2:124" s="33" customFormat="1" ht="12.75">
      <c r="B53" s="167" t="s">
        <v>30</v>
      </c>
      <c r="C53" s="168" t="s">
        <v>118</v>
      </c>
      <c r="D53" s="169">
        <v>0</v>
      </c>
      <c r="E53" s="170">
        <v>0</v>
      </c>
      <c r="F53" s="170">
        <v>0</v>
      </c>
      <c r="G53" s="170">
        <v>0</v>
      </c>
      <c r="H53" s="171">
        <f t="shared" si="9"/>
        <v>0</v>
      </c>
      <c r="I53" s="169">
        <v>0</v>
      </c>
      <c r="J53" s="175">
        <v>0</v>
      </c>
      <c r="K53" s="170">
        <v>0</v>
      </c>
      <c r="L53" s="170">
        <v>0</v>
      </c>
      <c r="M53" s="170">
        <v>0</v>
      </c>
      <c r="N53" s="170">
        <v>0</v>
      </c>
      <c r="O53" s="171">
        <f t="shared" si="10"/>
        <v>0</v>
      </c>
      <c r="P53" s="172">
        <f t="shared" si="82"/>
        <v>0</v>
      </c>
      <c r="Q53" s="173">
        <f t="shared" si="77"/>
        <v>0</v>
      </c>
      <c r="R53" s="174">
        <f t="shared" si="50"/>
        <v>0</v>
      </c>
      <c r="S53" s="179">
        <v>0</v>
      </c>
      <c r="T53" s="170">
        <v>0</v>
      </c>
      <c r="U53" s="170">
        <v>0</v>
      </c>
      <c r="V53" s="175">
        <v>0</v>
      </c>
      <c r="W53" s="178">
        <f t="shared" si="51"/>
        <v>0</v>
      </c>
      <c r="X53" s="179">
        <v>0</v>
      </c>
      <c r="Y53" s="175">
        <v>0</v>
      </c>
      <c r="Z53" s="175">
        <v>0</v>
      </c>
      <c r="AA53" s="175">
        <v>0</v>
      </c>
      <c r="AB53" s="178">
        <f t="shared" si="104"/>
        <v>0</v>
      </c>
      <c r="AC53" s="179">
        <v>0</v>
      </c>
      <c r="AD53" s="175">
        <v>0</v>
      </c>
      <c r="AE53" s="175">
        <v>0</v>
      </c>
      <c r="AF53" s="175">
        <v>0</v>
      </c>
      <c r="AG53" s="177">
        <f t="shared" si="53"/>
        <v>0</v>
      </c>
      <c r="AH53" s="179">
        <v>0</v>
      </c>
      <c r="AI53" s="175">
        <v>0</v>
      </c>
      <c r="AJ53" s="170">
        <v>-4.193</v>
      </c>
      <c r="AK53" s="175">
        <v>0</v>
      </c>
      <c r="AL53" s="177">
        <f t="shared" si="75"/>
        <v>-4.193</v>
      </c>
      <c r="AM53" s="175">
        <v>0</v>
      </c>
      <c r="AN53" s="175">
        <v>0</v>
      </c>
      <c r="AO53" s="175">
        <v>0</v>
      </c>
      <c r="AP53" s="178">
        <f t="shared" si="76"/>
        <v>0</v>
      </c>
      <c r="AQ53" s="179">
        <f>SUM(P53,S53,T53,V53,X53,Y53,AA53,AC53,AD53,AF53,AH53,AI53,AK53,AM53,AO53)</f>
        <v>0</v>
      </c>
      <c r="AR53" s="175">
        <f>SUM(Q53)+(S53+X53+AC53+AH53)+SUM((U53+Z53+AE53+AJ53+AN53)*-1)</f>
        <v>4.193</v>
      </c>
      <c r="AS53" s="170">
        <f>SUM(AQ53-AR53)</f>
        <v>-4.193</v>
      </c>
      <c r="AT53" s="180">
        <f>SUM(AP53)</f>
        <v>0</v>
      </c>
      <c r="AU53" s="179">
        <v>0</v>
      </c>
      <c r="AV53" s="175">
        <v>0</v>
      </c>
      <c r="AW53" s="170">
        <v>-0.231</v>
      </c>
      <c r="AX53" s="175">
        <v>0</v>
      </c>
      <c r="AY53" s="176">
        <f t="shared" si="58"/>
        <v>-4.4239999999999995</v>
      </c>
      <c r="AZ53" s="175">
        <v>0</v>
      </c>
      <c r="BA53" s="175">
        <v>0</v>
      </c>
      <c r="BB53" s="175">
        <v>0</v>
      </c>
      <c r="BC53" s="178">
        <f t="shared" si="59"/>
        <v>0</v>
      </c>
      <c r="BD53" s="261">
        <v>0</v>
      </c>
      <c r="BE53" s="262">
        <v>0</v>
      </c>
      <c r="BF53" s="262">
        <v>-4.014</v>
      </c>
      <c r="BG53" s="262">
        <v>0</v>
      </c>
      <c r="BH53" s="296">
        <f t="shared" si="60"/>
        <v>-8.437999999999999</v>
      </c>
      <c r="BI53" s="262">
        <v>0</v>
      </c>
      <c r="BJ53" s="262">
        <v>0</v>
      </c>
      <c r="BK53" s="262">
        <v>0</v>
      </c>
      <c r="BL53" s="307">
        <f t="shared" si="61"/>
        <v>0</v>
      </c>
      <c r="BM53" s="261">
        <v>0</v>
      </c>
      <c r="BN53" s="262">
        <v>5.23</v>
      </c>
      <c r="BO53" s="262">
        <v>-1.977345</v>
      </c>
      <c r="BP53" s="262">
        <v>0</v>
      </c>
      <c r="BQ53" s="296">
        <f t="shared" si="62"/>
        <v>-5.185344999999998</v>
      </c>
      <c r="BR53" s="262">
        <v>0</v>
      </c>
      <c r="BS53" s="262">
        <v>0</v>
      </c>
      <c r="BT53" s="262">
        <v>0</v>
      </c>
      <c r="BU53" s="307">
        <f t="shared" si="84"/>
        <v>0</v>
      </c>
      <c r="BV53" s="272">
        <v>0</v>
      </c>
      <c r="BW53" s="262">
        <v>0</v>
      </c>
      <c r="BX53" s="262">
        <v>-0.141064</v>
      </c>
      <c r="BY53" s="262">
        <v>0</v>
      </c>
      <c r="BZ53" s="296">
        <f t="shared" si="64"/>
        <v>-5.326408999999998</v>
      </c>
      <c r="CA53" s="262">
        <v>0</v>
      </c>
      <c r="CB53" s="262">
        <v>0</v>
      </c>
      <c r="CC53" s="262">
        <v>0</v>
      </c>
      <c r="CD53" s="307">
        <f t="shared" si="85"/>
        <v>0</v>
      </c>
      <c r="CE53" s="261">
        <f t="shared" si="86"/>
        <v>5.23</v>
      </c>
      <c r="CF53" s="263">
        <f t="shared" si="87"/>
        <v>10.556408999999999</v>
      </c>
      <c r="CG53" s="262">
        <f t="shared" si="88"/>
        <v>-5.326408999999998</v>
      </c>
      <c r="CH53" s="181">
        <f t="shared" si="69"/>
        <v>0</v>
      </c>
      <c r="CI53" s="272">
        <v>0</v>
      </c>
      <c r="CJ53" s="262">
        <v>0</v>
      </c>
      <c r="CK53" s="262">
        <v>-0.886259</v>
      </c>
      <c r="CL53" s="262">
        <v>0</v>
      </c>
      <c r="CM53" s="296">
        <f t="shared" si="83"/>
        <v>-6.212667999999998</v>
      </c>
      <c r="CN53" s="262">
        <v>0</v>
      </c>
      <c r="CO53" s="262">
        <v>0</v>
      </c>
      <c r="CP53" s="262">
        <v>0</v>
      </c>
      <c r="CQ53" s="307">
        <f t="shared" si="89"/>
        <v>0</v>
      </c>
      <c r="CR53" s="272">
        <v>0</v>
      </c>
      <c r="CS53" s="262">
        <v>0</v>
      </c>
      <c r="CT53" s="262">
        <f>-0.522929+3.496</f>
        <v>2.973071</v>
      </c>
      <c r="CU53" s="262">
        <v>-5.23</v>
      </c>
      <c r="CV53" s="296">
        <f t="shared" si="78"/>
        <v>-8.469596999999998</v>
      </c>
      <c r="CW53" s="262">
        <v>0</v>
      </c>
      <c r="CX53" s="262">
        <v>0</v>
      </c>
      <c r="CY53" s="262">
        <v>0</v>
      </c>
      <c r="CZ53" s="307">
        <f t="shared" si="102"/>
        <v>0</v>
      </c>
      <c r="DA53" s="272">
        <v>0</v>
      </c>
      <c r="DB53" s="262">
        <v>0</v>
      </c>
      <c r="DC53" s="262">
        <f>-1.932537+0.12377</f>
        <v>-1.808767</v>
      </c>
      <c r="DD53" s="262">
        <v>0</v>
      </c>
      <c r="DE53" s="296">
        <f t="shared" si="80"/>
        <v>-10.278363999999998</v>
      </c>
      <c r="DF53" s="262">
        <v>0</v>
      </c>
      <c r="DG53" s="262">
        <v>0</v>
      </c>
      <c r="DH53" s="262">
        <v>0</v>
      </c>
      <c r="DI53" s="307">
        <f t="shared" si="103"/>
        <v>0</v>
      </c>
      <c r="DJ53" s="272">
        <f t="shared" si="71"/>
        <v>0</v>
      </c>
      <c r="DK53" s="262">
        <f t="shared" si="72"/>
        <v>10.278364</v>
      </c>
      <c r="DL53" s="262">
        <f t="shared" si="90"/>
        <v>-10.278364</v>
      </c>
      <c r="DM53" s="181">
        <f t="shared" si="74"/>
        <v>0</v>
      </c>
      <c r="DN53" s="84"/>
      <c r="DO53" s="38"/>
      <c r="DP53" s="38"/>
      <c r="DQ53" s="38"/>
      <c r="DR53" s="38"/>
      <c r="DS53" s="38"/>
      <c r="DT53" s="38"/>
    </row>
    <row r="54" spans="2:124" s="33" customFormat="1" ht="12.75">
      <c r="B54" s="167" t="s">
        <v>30</v>
      </c>
      <c r="C54" s="168" t="s">
        <v>75</v>
      </c>
      <c r="D54" s="169">
        <v>0</v>
      </c>
      <c r="E54" s="170">
        <v>0</v>
      </c>
      <c r="F54" s="170">
        <v>0</v>
      </c>
      <c r="G54" s="170">
        <v>0</v>
      </c>
      <c r="H54" s="171">
        <f>SUM(E54:G54)</f>
        <v>0</v>
      </c>
      <c r="I54" s="169">
        <v>0</v>
      </c>
      <c r="J54" s="175">
        <v>0</v>
      </c>
      <c r="K54" s="170">
        <v>0</v>
      </c>
      <c r="L54" s="170">
        <v>0</v>
      </c>
      <c r="M54" s="170">
        <v>0</v>
      </c>
      <c r="N54" s="170">
        <v>0</v>
      </c>
      <c r="O54" s="171">
        <f>SUM(H54,J54:N54)</f>
        <v>0</v>
      </c>
      <c r="P54" s="172">
        <f t="shared" si="82"/>
        <v>0</v>
      </c>
      <c r="Q54" s="173">
        <f t="shared" si="77"/>
        <v>0</v>
      </c>
      <c r="R54" s="174">
        <f t="shared" si="50"/>
        <v>0</v>
      </c>
      <c r="S54" s="179">
        <v>0</v>
      </c>
      <c r="T54" s="170">
        <v>0</v>
      </c>
      <c r="U54" s="170">
        <v>0</v>
      </c>
      <c r="V54" s="175">
        <v>0</v>
      </c>
      <c r="W54" s="178">
        <f>SUM(R54,T54:V54)</f>
        <v>0</v>
      </c>
      <c r="X54" s="179">
        <v>0</v>
      </c>
      <c r="Y54" s="175">
        <v>0</v>
      </c>
      <c r="Z54" s="175">
        <v>0</v>
      </c>
      <c r="AA54" s="175">
        <v>0</v>
      </c>
      <c r="AB54" s="178">
        <f t="shared" si="104"/>
        <v>0</v>
      </c>
      <c r="AC54" s="179">
        <v>0</v>
      </c>
      <c r="AD54" s="175">
        <v>0</v>
      </c>
      <c r="AE54" s="175">
        <v>0</v>
      </c>
      <c r="AF54" s="175">
        <v>0</v>
      </c>
      <c r="AG54" s="177">
        <f>SUM(AB54,AD54:AF54)</f>
        <v>0</v>
      </c>
      <c r="AH54" s="179">
        <v>0</v>
      </c>
      <c r="AI54" s="175">
        <v>0</v>
      </c>
      <c r="AJ54" s="170">
        <v>-67</v>
      </c>
      <c r="AK54" s="175">
        <v>0</v>
      </c>
      <c r="AL54" s="177">
        <f>SUM(AG54,AI54:AK54)</f>
        <v>-67</v>
      </c>
      <c r="AM54" s="175">
        <v>0</v>
      </c>
      <c r="AN54" s="175">
        <v>0</v>
      </c>
      <c r="AO54" s="175">
        <v>0</v>
      </c>
      <c r="AP54" s="178">
        <f>SUM(AM54:AO54)</f>
        <v>0</v>
      </c>
      <c r="AQ54" s="179">
        <f>SUM(P54,S54,T54,V54,X54,Y54,AA54,AC54,AD54,AF54,AH54,AI54,AK54,AM54,AO54)</f>
        <v>0</v>
      </c>
      <c r="AR54" s="175">
        <f>SUM(Q54)+(S54+X54+AC54+AH54)+SUM((U54+Z54+AE54+AJ54+AN54)*-1)</f>
        <v>67</v>
      </c>
      <c r="AS54" s="245">
        <f>SUM(AQ54-AR54)</f>
        <v>-67</v>
      </c>
      <c r="AT54" s="180">
        <f>SUM(AP54)</f>
        <v>0</v>
      </c>
      <c r="AU54" s="179">
        <v>0</v>
      </c>
      <c r="AV54" s="175">
        <v>0</v>
      </c>
      <c r="AW54" s="170">
        <v>0</v>
      </c>
      <c r="AX54" s="175">
        <v>0</v>
      </c>
      <c r="AY54" s="176">
        <f t="shared" si="58"/>
        <v>-67</v>
      </c>
      <c r="AZ54" s="175">
        <v>0</v>
      </c>
      <c r="BA54" s="175">
        <v>0</v>
      </c>
      <c r="BB54" s="175">
        <v>0</v>
      </c>
      <c r="BC54" s="178">
        <f t="shared" si="59"/>
        <v>0</v>
      </c>
      <c r="BD54" s="261">
        <v>0</v>
      </c>
      <c r="BE54" s="262">
        <v>0</v>
      </c>
      <c r="BF54" s="262">
        <v>0</v>
      </c>
      <c r="BG54" s="262">
        <v>0</v>
      </c>
      <c r="BH54" s="296">
        <f t="shared" si="60"/>
        <v>-67</v>
      </c>
      <c r="BI54" s="262">
        <v>0</v>
      </c>
      <c r="BJ54" s="262">
        <v>0</v>
      </c>
      <c r="BK54" s="262">
        <v>0</v>
      </c>
      <c r="BL54" s="307">
        <f t="shared" si="61"/>
        <v>0</v>
      </c>
      <c r="BM54" s="261">
        <v>0</v>
      </c>
      <c r="BN54" s="262">
        <v>0</v>
      </c>
      <c r="BO54" s="262">
        <v>3.677287</v>
      </c>
      <c r="BP54" s="262">
        <v>0</v>
      </c>
      <c r="BQ54" s="296">
        <f t="shared" si="62"/>
        <v>-63.322713</v>
      </c>
      <c r="BR54" s="262">
        <v>0</v>
      </c>
      <c r="BS54" s="262">
        <v>0</v>
      </c>
      <c r="BT54" s="262">
        <v>0</v>
      </c>
      <c r="BU54" s="307">
        <f t="shared" si="84"/>
        <v>0</v>
      </c>
      <c r="BV54" s="272">
        <v>0</v>
      </c>
      <c r="BW54" s="262">
        <v>0</v>
      </c>
      <c r="BX54" s="262">
        <v>0</v>
      </c>
      <c r="BY54" s="262">
        <v>0</v>
      </c>
      <c r="BZ54" s="296">
        <f t="shared" si="64"/>
        <v>-63.322713</v>
      </c>
      <c r="CA54" s="262">
        <v>0</v>
      </c>
      <c r="CB54" s="262">
        <v>0</v>
      </c>
      <c r="CC54" s="262">
        <v>0</v>
      </c>
      <c r="CD54" s="307">
        <f t="shared" si="85"/>
        <v>0</v>
      </c>
      <c r="CE54" s="261">
        <f t="shared" si="86"/>
        <v>0</v>
      </c>
      <c r="CF54" s="263">
        <f t="shared" si="87"/>
        <v>63.322713</v>
      </c>
      <c r="CG54" s="262">
        <f t="shared" si="88"/>
        <v>-63.322713</v>
      </c>
      <c r="CH54" s="181">
        <f t="shared" si="69"/>
        <v>0</v>
      </c>
      <c r="CI54" s="272">
        <v>0</v>
      </c>
      <c r="CJ54" s="262">
        <v>0</v>
      </c>
      <c r="CK54" s="262">
        <v>0</v>
      </c>
      <c r="CL54" s="262">
        <v>0</v>
      </c>
      <c r="CM54" s="296">
        <f t="shared" si="83"/>
        <v>-63.322713</v>
      </c>
      <c r="CN54" s="262">
        <v>0</v>
      </c>
      <c r="CO54" s="262">
        <v>0</v>
      </c>
      <c r="CP54" s="262">
        <v>0</v>
      </c>
      <c r="CQ54" s="307">
        <f t="shared" si="89"/>
        <v>0</v>
      </c>
      <c r="CR54" s="272">
        <v>0</v>
      </c>
      <c r="CS54" s="262">
        <v>0</v>
      </c>
      <c r="CT54" s="262">
        <v>0</v>
      </c>
      <c r="CU54" s="262">
        <v>0</v>
      </c>
      <c r="CV54" s="296">
        <f t="shared" si="78"/>
        <v>-63.322713</v>
      </c>
      <c r="CW54" s="262">
        <v>0</v>
      </c>
      <c r="CX54" s="262">
        <v>0</v>
      </c>
      <c r="CY54" s="262">
        <v>0</v>
      </c>
      <c r="CZ54" s="307">
        <f t="shared" si="102"/>
        <v>0</v>
      </c>
      <c r="DA54" s="272">
        <v>0</v>
      </c>
      <c r="DB54" s="262">
        <v>0</v>
      </c>
      <c r="DC54" s="262">
        <v>0</v>
      </c>
      <c r="DD54" s="262">
        <v>0</v>
      </c>
      <c r="DE54" s="296">
        <f t="shared" si="80"/>
        <v>-63.322713</v>
      </c>
      <c r="DF54" s="262">
        <v>0</v>
      </c>
      <c r="DG54" s="262">
        <v>0</v>
      </c>
      <c r="DH54" s="262">
        <v>0</v>
      </c>
      <c r="DI54" s="307">
        <f t="shared" si="103"/>
        <v>0</v>
      </c>
      <c r="DJ54" s="272">
        <f t="shared" si="71"/>
        <v>0</v>
      </c>
      <c r="DK54" s="262">
        <f t="shared" si="72"/>
        <v>63.322713</v>
      </c>
      <c r="DL54" s="262">
        <f t="shared" si="90"/>
        <v>-63.322713</v>
      </c>
      <c r="DM54" s="181">
        <f t="shared" si="74"/>
        <v>0</v>
      </c>
      <c r="DN54" s="84"/>
      <c r="DO54" s="38"/>
      <c r="DP54" s="38"/>
      <c r="DQ54" s="38"/>
      <c r="DR54" s="38"/>
      <c r="DS54" s="38"/>
      <c r="DT54" s="38"/>
    </row>
    <row r="55" spans="2:124" s="33" customFormat="1" ht="12.75">
      <c r="B55" s="182" t="s">
        <v>30</v>
      </c>
      <c r="C55" s="183" t="s">
        <v>76</v>
      </c>
      <c r="D55" s="169">
        <v>0</v>
      </c>
      <c r="E55" s="170">
        <v>0</v>
      </c>
      <c r="F55" s="170">
        <v>0</v>
      </c>
      <c r="G55" s="170">
        <v>0</v>
      </c>
      <c r="H55" s="171">
        <f>SUM(E55:G55)</f>
        <v>0</v>
      </c>
      <c r="I55" s="169">
        <v>0</v>
      </c>
      <c r="J55" s="170">
        <v>2300</v>
      </c>
      <c r="K55" s="170">
        <v>0</v>
      </c>
      <c r="L55" s="170">
        <v>0</v>
      </c>
      <c r="M55" s="170">
        <v>0</v>
      </c>
      <c r="N55" s="170">
        <v>0</v>
      </c>
      <c r="O55" s="171">
        <f>SUM(H55,J55:N55)</f>
        <v>2300</v>
      </c>
      <c r="P55" s="172">
        <f t="shared" si="82"/>
        <v>2300</v>
      </c>
      <c r="Q55" s="173">
        <f t="shared" si="77"/>
        <v>0</v>
      </c>
      <c r="R55" s="174">
        <f t="shared" si="50"/>
        <v>2300</v>
      </c>
      <c r="S55" s="179">
        <v>0</v>
      </c>
      <c r="T55" s="170">
        <v>0</v>
      </c>
      <c r="U55" s="170">
        <v>0</v>
      </c>
      <c r="V55" s="175">
        <v>0</v>
      </c>
      <c r="W55" s="178">
        <f>SUM(R55,T55:V55)</f>
        <v>2300</v>
      </c>
      <c r="X55" s="179">
        <v>0</v>
      </c>
      <c r="Y55" s="175">
        <v>0</v>
      </c>
      <c r="Z55" s="175">
        <v>0</v>
      </c>
      <c r="AA55" s="175">
        <v>0</v>
      </c>
      <c r="AB55" s="178">
        <f t="shared" si="104"/>
        <v>2300</v>
      </c>
      <c r="AC55" s="179">
        <v>0</v>
      </c>
      <c r="AD55" s="175">
        <v>0</v>
      </c>
      <c r="AE55" s="175">
        <v>-0.928</v>
      </c>
      <c r="AF55" s="175">
        <v>0</v>
      </c>
      <c r="AG55" s="177">
        <f>SUM(AB55,AD55:AF55)</f>
        <v>2299.072</v>
      </c>
      <c r="AH55" s="179">
        <v>0</v>
      </c>
      <c r="AI55" s="175">
        <v>0</v>
      </c>
      <c r="AJ55" s="170">
        <f>-381.79+382.718-2230</f>
        <v>-2229.072</v>
      </c>
      <c r="AK55" s="175">
        <v>0</v>
      </c>
      <c r="AL55" s="177">
        <f>SUM(AG55,AI55:AK55)</f>
        <v>70</v>
      </c>
      <c r="AM55" s="175">
        <v>0</v>
      </c>
      <c r="AN55" s="175">
        <v>0</v>
      </c>
      <c r="AO55" s="175">
        <v>0</v>
      </c>
      <c r="AP55" s="178">
        <f>SUM(AM55:AO55)</f>
        <v>0</v>
      </c>
      <c r="AQ55" s="179">
        <f>SUM(P55,S55,T55,V55,X55,Y55,AA55,AC55,AD55,AF55,AH55,AI55,AK55,AM55,AO55)</f>
        <v>2300</v>
      </c>
      <c r="AR55" s="175">
        <f>SUM(Q55)+(S55+X55+AC55+AH55)+SUM((U55+Z55+AE55+AJ55+AN55)*-1)</f>
        <v>2230</v>
      </c>
      <c r="AS55" s="246">
        <f>SUM(AQ55-AR55)</f>
        <v>70</v>
      </c>
      <c r="AT55" s="180">
        <f>SUM(AP55)</f>
        <v>0</v>
      </c>
      <c r="AU55" s="179">
        <v>0</v>
      </c>
      <c r="AV55" s="175">
        <v>0</v>
      </c>
      <c r="AW55" s="170">
        <v>0</v>
      </c>
      <c r="AX55" s="175">
        <v>0</v>
      </c>
      <c r="AY55" s="176">
        <f t="shared" si="58"/>
        <v>70</v>
      </c>
      <c r="AZ55" s="175">
        <v>0</v>
      </c>
      <c r="BA55" s="175">
        <v>0</v>
      </c>
      <c r="BB55" s="175">
        <v>0</v>
      </c>
      <c r="BC55" s="178">
        <f t="shared" si="59"/>
        <v>0</v>
      </c>
      <c r="BD55" s="261">
        <v>0</v>
      </c>
      <c r="BE55" s="262">
        <v>0</v>
      </c>
      <c r="BF55" s="262">
        <v>0</v>
      </c>
      <c r="BG55" s="262">
        <v>0</v>
      </c>
      <c r="BH55" s="296">
        <f t="shared" si="60"/>
        <v>70</v>
      </c>
      <c r="BI55" s="262">
        <v>0</v>
      </c>
      <c r="BJ55" s="262">
        <v>0</v>
      </c>
      <c r="BK55" s="262">
        <v>0</v>
      </c>
      <c r="BL55" s="307">
        <f t="shared" si="61"/>
        <v>0</v>
      </c>
      <c r="BM55" s="261">
        <v>0</v>
      </c>
      <c r="BN55" s="262">
        <v>0</v>
      </c>
      <c r="BO55" s="262">
        <v>0</v>
      </c>
      <c r="BP55" s="262">
        <v>0</v>
      </c>
      <c r="BQ55" s="296">
        <f t="shared" si="62"/>
        <v>70</v>
      </c>
      <c r="BR55" s="262">
        <v>0</v>
      </c>
      <c r="BS55" s="262">
        <v>0</v>
      </c>
      <c r="BT55" s="262">
        <v>0</v>
      </c>
      <c r="BU55" s="307">
        <f t="shared" si="84"/>
        <v>0</v>
      </c>
      <c r="BV55" s="272">
        <v>0</v>
      </c>
      <c r="BW55" s="262">
        <v>0</v>
      </c>
      <c r="BX55" s="262">
        <v>-6.677287</v>
      </c>
      <c r="BY55" s="262">
        <v>0</v>
      </c>
      <c r="BZ55" s="296">
        <f t="shared" si="64"/>
        <v>63.322713</v>
      </c>
      <c r="CA55" s="262">
        <v>0</v>
      </c>
      <c r="CB55" s="262">
        <v>0</v>
      </c>
      <c r="CC55" s="262">
        <v>0</v>
      </c>
      <c r="CD55" s="307">
        <f t="shared" si="85"/>
        <v>0</v>
      </c>
      <c r="CE55" s="261">
        <f t="shared" si="86"/>
        <v>2300</v>
      </c>
      <c r="CF55" s="263">
        <f t="shared" si="87"/>
        <v>2236.677287</v>
      </c>
      <c r="CG55" s="262">
        <f t="shared" si="88"/>
        <v>63.32271300000002</v>
      </c>
      <c r="CH55" s="181">
        <f t="shared" si="69"/>
        <v>0</v>
      </c>
      <c r="CI55" s="272">
        <v>0</v>
      </c>
      <c r="CJ55" s="262">
        <v>0</v>
      </c>
      <c r="CK55" s="262">
        <v>0</v>
      </c>
      <c r="CL55" s="262">
        <v>0</v>
      </c>
      <c r="CM55" s="296">
        <f t="shared" si="83"/>
        <v>63.32271300000002</v>
      </c>
      <c r="CN55" s="262">
        <v>0</v>
      </c>
      <c r="CO55" s="262">
        <v>0</v>
      </c>
      <c r="CP55" s="262">
        <v>0</v>
      </c>
      <c r="CQ55" s="307">
        <f t="shared" si="89"/>
        <v>0</v>
      </c>
      <c r="CR55" s="272">
        <v>0</v>
      </c>
      <c r="CS55" s="262">
        <v>0</v>
      </c>
      <c r="CT55" s="262">
        <v>0</v>
      </c>
      <c r="CU55" s="262">
        <v>0</v>
      </c>
      <c r="CV55" s="296">
        <f t="shared" si="78"/>
        <v>63.32271300000002</v>
      </c>
      <c r="CW55" s="262">
        <v>0</v>
      </c>
      <c r="CX55" s="262">
        <v>0</v>
      </c>
      <c r="CY55" s="262">
        <v>0</v>
      </c>
      <c r="CZ55" s="307">
        <f t="shared" si="102"/>
        <v>0</v>
      </c>
      <c r="DA55" s="272">
        <v>0</v>
      </c>
      <c r="DB55" s="262">
        <v>0</v>
      </c>
      <c r="DC55" s="262">
        <v>0</v>
      </c>
      <c r="DD55" s="262">
        <v>0</v>
      </c>
      <c r="DE55" s="296">
        <f t="shared" si="80"/>
        <v>63.32271300000002</v>
      </c>
      <c r="DF55" s="262">
        <v>0</v>
      </c>
      <c r="DG55" s="262">
        <v>0</v>
      </c>
      <c r="DH55" s="262">
        <v>0</v>
      </c>
      <c r="DI55" s="307">
        <f t="shared" si="103"/>
        <v>0</v>
      </c>
      <c r="DJ55" s="272">
        <f t="shared" si="71"/>
        <v>2300</v>
      </c>
      <c r="DK55" s="262">
        <f t="shared" si="72"/>
        <v>2236.677287</v>
      </c>
      <c r="DL55" s="262">
        <f t="shared" si="90"/>
        <v>63.32271300000002</v>
      </c>
      <c r="DM55" s="181">
        <f t="shared" si="74"/>
        <v>0</v>
      </c>
      <c r="DN55" s="84"/>
      <c r="DO55" s="38"/>
      <c r="DP55" s="38"/>
      <c r="DQ55" s="38"/>
      <c r="DR55" s="38"/>
      <c r="DS55" s="38"/>
      <c r="DT55" s="38"/>
    </row>
    <row r="56" spans="2:124" s="33" customFormat="1" ht="12.75">
      <c r="B56" s="167" t="s">
        <v>30</v>
      </c>
      <c r="C56" s="168" t="s">
        <v>87</v>
      </c>
      <c r="D56" s="169">
        <v>0</v>
      </c>
      <c r="E56" s="170">
        <v>0</v>
      </c>
      <c r="F56" s="170">
        <v>0</v>
      </c>
      <c r="G56" s="170">
        <v>0</v>
      </c>
      <c r="H56" s="171">
        <f>SUM(E56:G56)</f>
        <v>0</v>
      </c>
      <c r="I56" s="169">
        <v>0</v>
      </c>
      <c r="J56" s="170">
        <v>2508.1</v>
      </c>
      <c r="K56" s="170">
        <v>0</v>
      </c>
      <c r="L56" s="170">
        <v>0</v>
      </c>
      <c r="M56" s="170">
        <v>0</v>
      </c>
      <c r="N56" s="170">
        <v>0</v>
      </c>
      <c r="O56" s="171">
        <f>SUM(H56,J56:N56)</f>
        <v>2508.1</v>
      </c>
      <c r="P56" s="172">
        <f t="shared" si="82"/>
        <v>2508.1</v>
      </c>
      <c r="Q56" s="173">
        <f t="shared" si="77"/>
        <v>0</v>
      </c>
      <c r="R56" s="174">
        <f t="shared" si="50"/>
        <v>2508.1</v>
      </c>
      <c r="S56" s="179">
        <v>0</v>
      </c>
      <c r="T56" s="170">
        <v>0</v>
      </c>
      <c r="U56" s="170">
        <v>0</v>
      </c>
      <c r="V56" s="175">
        <v>0</v>
      </c>
      <c r="W56" s="178">
        <f>SUM(R56,T56:V56)</f>
        <v>2508.1</v>
      </c>
      <c r="X56" s="179">
        <v>0</v>
      </c>
      <c r="Y56" s="175">
        <v>0</v>
      </c>
      <c r="Z56" s="175">
        <v>0</v>
      </c>
      <c r="AA56" s="175">
        <v>0</v>
      </c>
      <c r="AB56" s="178">
        <f t="shared" si="104"/>
        <v>2508.1</v>
      </c>
      <c r="AC56" s="179">
        <v>0</v>
      </c>
      <c r="AD56" s="175">
        <v>0</v>
      </c>
      <c r="AE56" s="175">
        <f>-66.092+0.928+0.02</f>
        <v>-65.144</v>
      </c>
      <c r="AF56" s="175">
        <v>0</v>
      </c>
      <c r="AG56" s="177">
        <f>SUM(AB56,AD56:AF56)</f>
        <v>2442.956</v>
      </c>
      <c r="AH56" s="179">
        <v>0</v>
      </c>
      <c r="AI56" s="175">
        <f>400-1198+404</f>
        <v>-394</v>
      </c>
      <c r="AJ56" s="170">
        <v>-345.164</v>
      </c>
      <c r="AK56" s="175">
        <v>0</v>
      </c>
      <c r="AL56" s="177">
        <f>SUM(AG56,AI56:AK56)</f>
        <v>1703.7920000000001</v>
      </c>
      <c r="AM56" s="175">
        <v>0</v>
      </c>
      <c r="AN56" s="175">
        <v>0</v>
      </c>
      <c r="AO56" s="175">
        <v>0</v>
      </c>
      <c r="AP56" s="178">
        <f t="shared" si="76"/>
        <v>0</v>
      </c>
      <c r="AQ56" s="179">
        <f t="shared" si="54"/>
        <v>2114.1</v>
      </c>
      <c r="AR56" s="175">
        <f t="shared" si="55"/>
        <v>410.308</v>
      </c>
      <c r="AS56" s="170">
        <f t="shared" si="56"/>
        <v>1703.792</v>
      </c>
      <c r="AT56" s="180">
        <f t="shared" si="57"/>
        <v>0</v>
      </c>
      <c r="AU56" s="179">
        <v>0</v>
      </c>
      <c r="AV56" s="175">
        <f>281.161+0.2+185.73</f>
        <v>467.091</v>
      </c>
      <c r="AW56" s="170">
        <v>-351.408</v>
      </c>
      <c r="AX56" s="175">
        <v>0.18</v>
      </c>
      <c r="AY56" s="176">
        <f t="shared" si="58"/>
        <v>1819.655</v>
      </c>
      <c r="AZ56" s="175">
        <v>0</v>
      </c>
      <c r="BA56" s="175">
        <v>0</v>
      </c>
      <c r="BB56" s="175">
        <v>0</v>
      </c>
      <c r="BC56" s="178">
        <f t="shared" si="59"/>
        <v>0</v>
      </c>
      <c r="BD56" s="261">
        <v>0</v>
      </c>
      <c r="BE56" s="262">
        <f>711+238</f>
        <v>949</v>
      </c>
      <c r="BF56" s="262">
        <v>-618.746</v>
      </c>
      <c r="BG56" s="262">
        <v>0</v>
      </c>
      <c r="BH56" s="296">
        <f t="shared" si="60"/>
        <v>2149.9089999999997</v>
      </c>
      <c r="BI56" s="262">
        <v>0</v>
      </c>
      <c r="BJ56" s="262">
        <v>0</v>
      </c>
      <c r="BK56" s="262">
        <v>0</v>
      </c>
      <c r="BL56" s="307">
        <f t="shared" si="61"/>
        <v>0</v>
      </c>
      <c r="BM56" s="261">
        <v>0</v>
      </c>
      <c r="BN56" s="262">
        <f>292.69-0.24+23-694.7468</f>
        <v>-379.2968</v>
      </c>
      <c r="BO56" s="262">
        <v>-838.81741</v>
      </c>
      <c r="BP56" s="262">
        <v>0</v>
      </c>
      <c r="BQ56" s="296">
        <f t="shared" si="62"/>
        <v>931.7947899999996</v>
      </c>
      <c r="BR56" s="262">
        <v>0</v>
      </c>
      <c r="BS56" s="262">
        <v>0</v>
      </c>
      <c r="BT56" s="262">
        <v>0</v>
      </c>
      <c r="BU56" s="307">
        <f t="shared" si="84"/>
        <v>0</v>
      </c>
      <c r="BV56" s="272">
        <v>0</v>
      </c>
      <c r="BW56" s="262">
        <v>8.12067</v>
      </c>
      <c r="BX56" s="262">
        <f>-62.734626-BX57-BX58-BX59-BX60-BX61</f>
        <v>-32.75614899999999</v>
      </c>
      <c r="BY56" s="262">
        <f>-337-24</f>
        <v>-361</v>
      </c>
      <c r="BZ56" s="296">
        <f t="shared" si="64"/>
        <v>546.1593109999997</v>
      </c>
      <c r="CA56" s="262">
        <v>0</v>
      </c>
      <c r="CB56" s="262">
        <v>0</v>
      </c>
      <c r="CC56" s="262">
        <v>0</v>
      </c>
      <c r="CD56" s="307">
        <f t="shared" si="85"/>
        <v>0</v>
      </c>
      <c r="CE56" s="261">
        <f t="shared" si="86"/>
        <v>2798.1948699999994</v>
      </c>
      <c r="CF56" s="263">
        <f t="shared" si="87"/>
        <v>2252.035559</v>
      </c>
      <c r="CG56" s="262">
        <f t="shared" si="88"/>
        <v>546.1593109999994</v>
      </c>
      <c r="CH56" s="181">
        <f t="shared" si="69"/>
        <v>0</v>
      </c>
      <c r="CI56" s="272">
        <v>0</v>
      </c>
      <c r="CJ56" s="262">
        <v>3.717479</v>
      </c>
      <c r="CK56" s="262">
        <v>-15.299952</v>
      </c>
      <c r="CL56" s="262">
        <v>0</v>
      </c>
      <c r="CM56" s="296">
        <f t="shared" si="83"/>
        <v>534.5768379999995</v>
      </c>
      <c r="CN56" s="262">
        <v>0</v>
      </c>
      <c r="CO56" s="262">
        <v>0</v>
      </c>
      <c r="CP56" s="262">
        <v>0</v>
      </c>
      <c r="CQ56" s="307">
        <f t="shared" si="89"/>
        <v>0</v>
      </c>
      <c r="CR56" s="272">
        <v>0</v>
      </c>
      <c r="CS56" s="262">
        <v>32.06424</v>
      </c>
      <c r="CT56" s="262">
        <v>-38.030157</v>
      </c>
      <c r="CU56" s="262">
        <v>0</v>
      </c>
      <c r="CV56" s="296">
        <f t="shared" si="78"/>
        <v>528.6109209999995</v>
      </c>
      <c r="CW56" s="262">
        <v>0</v>
      </c>
      <c r="CX56" s="262">
        <v>0</v>
      </c>
      <c r="CY56" s="262">
        <v>0</v>
      </c>
      <c r="CZ56" s="307">
        <f t="shared" si="102"/>
        <v>0</v>
      </c>
      <c r="DA56" s="272">
        <v>0</v>
      </c>
      <c r="DB56" s="262">
        <f>126+74-72</f>
        <v>128</v>
      </c>
      <c r="DC56" s="262">
        <f>-159.025049-DC57-DC58-DC59-DC60-DC61</f>
        <v>-131.51259699999997</v>
      </c>
      <c r="DD56" s="262">
        <v>-25.073</v>
      </c>
      <c r="DE56" s="296">
        <f t="shared" si="80"/>
        <v>500.0253239999996</v>
      </c>
      <c r="DF56" s="262">
        <v>0</v>
      </c>
      <c r="DG56" s="262">
        <v>0</v>
      </c>
      <c r="DH56" s="262">
        <v>0</v>
      </c>
      <c r="DI56" s="307">
        <f t="shared" si="103"/>
        <v>0</v>
      </c>
      <c r="DJ56" s="272">
        <f t="shared" si="71"/>
        <v>2936.9035889999996</v>
      </c>
      <c r="DK56" s="262">
        <f t="shared" si="72"/>
        <v>2436.878265</v>
      </c>
      <c r="DL56" s="262">
        <f t="shared" si="90"/>
        <v>500.0253239999997</v>
      </c>
      <c r="DM56" s="181">
        <f t="shared" si="74"/>
        <v>0</v>
      </c>
      <c r="DN56" s="84"/>
      <c r="DO56" s="38"/>
      <c r="DP56" s="38"/>
      <c r="DQ56" s="38"/>
      <c r="DR56" s="38"/>
      <c r="DS56" s="38"/>
      <c r="DT56" s="38"/>
    </row>
    <row r="57" spans="2:124" s="33" customFormat="1" ht="12.75">
      <c r="B57" s="182" t="s">
        <v>30</v>
      </c>
      <c r="C57" s="183" t="s">
        <v>78</v>
      </c>
      <c r="D57" s="169">
        <v>0</v>
      </c>
      <c r="E57" s="170">
        <v>0</v>
      </c>
      <c r="F57" s="170">
        <v>0</v>
      </c>
      <c r="G57" s="170">
        <v>0</v>
      </c>
      <c r="H57" s="171">
        <f t="shared" si="9"/>
        <v>0</v>
      </c>
      <c r="I57" s="169">
        <v>0</v>
      </c>
      <c r="J57" s="170">
        <v>75.7</v>
      </c>
      <c r="K57" s="170">
        <v>0</v>
      </c>
      <c r="L57" s="170">
        <v>0</v>
      </c>
      <c r="M57" s="170">
        <v>0</v>
      </c>
      <c r="N57" s="170">
        <v>0</v>
      </c>
      <c r="O57" s="171">
        <f t="shared" si="10"/>
        <v>75.7</v>
      </c>
      <c r="P57" s="172">
        <f t="shared" si="82"/>
        <v>75.7</v>
      </c>
      <c r="Q57" s="173">
        <f t="shared" si="77"/>
        <v>0</v>
      </c>
      <c r="R57" s="174">
        <f t="shared" si="50"/>
        <v>75.7</v>
      </c>
      <c r="S57" s="179">
        <v>0</v>
      </c>
      <c r="T57" s="170">
        <v>0</v>
      </c>
      <c r="U57" s="170">
        <v>0</v>
      </c>
      <c r="V57" s="175">
        <v>0</v>
      </c>
      <c r="W57" s="178">
        <f t="shared" si="51"/>
        <v>75.7</v>
      </c>
      <c r="X57" s="179">
        <v>0</v>
      </c>
      <c r="Y57" s="175">
        <v>0</v>
      </c>
      <c r="Z57" s="175">
        <v>0</v>
      </c>
      <c r="AA57" s="175">
        <v>0</v>
      </c>
      <c r="AB57" s="178">
        <f t="shared" si="104"/>
        <v>75.7</v>
      </c>
      <c r="AC57" s="179">
        <v>0</v>
      </c>
      <c r="AD57" s="175">
        <v>0</v>
      </c>
      <c r="AE57" s="175">
        <v>0</v>
      </c>
      <c r="AF57" s="175">
        <v>0</v>
      </c>
      <c r="AG57" s="177">
        <f t="shared" si="53"/>
        <v>75.7</v>
      </c>
      <c r="AH57" s="179">
        <v>0</v>
      </c>
      <c r="AI57" s="175">
        <v>0</v>
      </c>
      <c r="AJ57" s="170">
        <v>-11.075</v>
      </c>
      <c r="AK57" s="175">
        <v>0</v>
      </c>
      <c r="AL57" s="177">
        <f>SUM(AG57,AI57:AK57)</f>
        <v>64.625</v>
      </c>
      <c r="AM57" s="175">
        <v>0</v>
      </c>
      <c r="AN57" s="175">
        <v>0</v>
      </c>
      <c r="AO57" s="175">
        <v>0</v>
      </c>
      <c r="AP57" s="178">
        <f t="shared" si="76"/>
        <v>0</v>
      </c>
      <c r="AQ57" s="179">
        <f t="shared" si="54"/>
        <v>75.7</v>
      </c>
      <c r="AR57" s="175">
        <f t="shared" si="55"/>
        <v>11.075</v>
      </c>
      <c r="AS57" s="170">
        <f t="shared" si="56"/>
        <v>64.625</v>
      </c>
      <c r="AT57" s="180">
        <f t="shared" si="57"/>
        <v>0</v>
      </c>
      <c r="AU57" s="179">
        <v>0</v>
      </c>
      <c r="AV57" s="175">
        <v>0</v>
      </c>
      <c r="AW57" s="170">
        <v>-8.284</v>
      </c>
      <c r="AX57" s="175">
        <v>0</v>
      </c>
      <c r="AY57" s="176">
        <f t="shared" si="58"/>
        <v>56.341</v>
      </c>
      <c r="AZ57" s="175">
        <v>0</v>
      </c>
      <c r="BA57" s="175">
        <v>0</v>
      </c>
      <c r="BB57" s="175">
        <v>0</v>
      </c>
      <c r="BC57" s="178">
        <f t="shared" si="59"/>
        <v>0</v>
      </c>
      <c r="BD57" s="261">
        <v>0</v>
      </c>
      <c r="BE57" s="262">
        <v>0</v>
      </c>
      <c r="BF57" s="262">
        <v>-2.926</v>
      </c>
      <c r="BG57" s="262">
        <v>0</v>
      </c>
      <c r="BH57" s="296">
        <f t="shared" si="60"/>
        <v>53.415</v>
      </c>
      <c r="BI57" s="262">
        <v>0</v>
      </c>
      <c r="BJ57" s="262">
        <v>0</v>
      </c>
      <c r="BK57" s="262">
        <v>0</v>
      </c>
      <c r="BL57" s="307">
        <f t="shared" si="61"/>
        <v>0</v>
      </c>
      <c r="BM57" s="261">
        <v>0</v>
      </c>
      <c r="BN57" s="262">
        <v>0</v>
      </c>
      <c r="BO57" s="262">
        <v>-3.848866</v>
      </c>
      <c r="BP57" s="262">
        <v>0</v>
      </c>
      <c r="BQ57" s="296">
        <f t="shared" si="62"/>
        <v>49.566134</v>
      </c>
      <c r="BR57" s="262">
        <v>0</v>
      </c>
      <c r="BS57" s="262">
        <v>0</v>
      </c>
      <c r="BT57" s="262">
        <v>0</v>
      </c>
      <c r="BU57" s="307">
        <f t="shared" si="84"/>
        <v>0</v>
      </c>
      <c r="BV57" s="272">
        <v>0</v>
      </c>
      <c r="BW57" s="262">
        <v>0</v>
      </c>
      <c r="BX57" s="262">
        <v>-1.687751</v>
      </c>
      <c r="BY57" s="262">
        <v>-10</v>
      </c>
      <c r="BZ57" s="296">
        <f t="shared" si="64"/>
        <v>37.878383</v>
      </c>
      <c r="CA57" s="262">
        <v>0</v>
      </c>
      <c r="CB57" s="262">
        <v>0</v>
      </c>
      <c r="CC57" s="262">
        <v>0</v>
      </c>
      <c r="CD57" s="307">
        <f t="shared" si="85"/>
        <v>0</v>
      </c>
      <c r="CE57" s="261">
        <f t="shared" si="86"/>
        <v>65.7</v>
      </c>
      <c r="CF57" s="263">
        <f t="shared" si="87"/>
        <v>27.821617000000003</v>
      </c>
      <c r="CG57" s="262">
        <f t="shared" si="88"/>
        <v>37.878383</v>
      </c>
      <c r="CH57" s="181">
        <f t="shared" si="69"/>
        <v>0</v>
      </c>
      <c r="CI57" s="272">
        <v>0</v>
      </c>
      <c r="CJ57" s="262">
        <v>0</v>
      </c>
      <c r="CK57" s="262">
        <v>-2.014136</v>
      </c>
      <c r="CL57" s="262">
        <v>0</v>
      </c>
      <c r="CM57" s="296">
        <f t="shared" si="83"/>
        <v>35.864247</v>
      </c>
      <c r="CN57" s="262">
        <v>0</v>
      </c>
      <c r="CO57" s="262">
        <v>0</v>
      </c>
      <c r="CP57" s="262">
        <v>0</v>
      </c>
      <c r="CQ57" s="307">
        <f t="shared" si="89"/>
        <v>0</v>
      </c>
      <c r="CR57" s="272">
        <v>0</v>
      </c>
      <c r="CS57" s="262">
        <v>0</v>
      </c>
      <c r="CT57" s="262">
        <v>-2.706796</v>
      </c>
      <c r="CU57" s="262">
        <v>0</v>
      </c>
      <c r="CV57" s="296">
        <f t="shared" si="78"/>
        <v>33.157451</v>
      </c>
      <c r="CW57" s="262">
        <v>0</v>
      </c>
      <c r="CX57" s="262">
        <v>0</v>
      </c>
      <c r="CY57" s="262">
        <v>0</v>
      </c>
      <c r="CZ57" s="307">
        <f t="shared" si="102"/>
        <v>0</v>
      </c>
      <c r="DA57" s="272">
        <v>0</v>
      </c>
      <c r="DB57" s="262">
        <v>-18</v>
      </c>
      <c r="DC57" s="262">
        <v>-2.781543</v>
      </c>
      <c r="DD57" s="262">
        <v>0</v>
      </c>
      <c r="DE57" s="296">
        <f t="shared" si="80"/>
        <v>12.375908000000003</v>
      </c>
      <c r="DF57" s="262">
        <v>0</v>
      </c>
      <c r="DG57" s="262">
        <v>0</v>
      </c>
      <c r="DH57" s="262">
        <v>0</v>
      </c>
      <c r="DI57" s="307">
        <f t="shared" si="103"/>
        <v>0</v>
      </c>
      <c r="DJ57" s="272">
        <f t="shared" si="71"/>
        <v>47.7</v>
      </c>
      <c r="DK57" s="262">
        <f t="shared" si="72"/>
        <v>35.324092</v>
      </c>
      <c r="DL57" s="262">
        <f t="shared" si="90"/>
        <v>12.375908000000003</v>
      </c>
      <c r="DM57" s="181">
        <f t="shared" si="74"/>
        <v>0</v>
      </c>
      <c r="DN57" s="84"/>
      <c r="DO57" s="38"/>
      <c r="DP57" s="38"/>
      <c r="DQ57" s="38"/>
      <c r="DR57" s="38"/>
      <c r="DS57" s="38"/>
      <c r="DT57" s="38"/>
    </row>
    <row r="58" spans="2:124" s="33" customFormat="1" ht="12.75">
      <c r="B58" s="182" t="s">
        <v>30</v>
      </c>
      <c r="C58" s="183" t="s">
        <v>79</v>
      </c>
      <c r="D58" s="169">
        <v>0</v>
      </c>
      <c r="E58" s="170">
        <v>0</v>
      </c>
      <c r="F58" s="170">
        <v>0</v>
      </c>
      <c r="G58" s="170">
        <v>0</v>
      </c>
      <c r="H58" s="171">
        <f t="shared" si="9"/>
        <v>0</v>
      </c>
      <c r="I58" s="169">
        <v>0</v>
      </c>
      <c r="J58" s="170">
        <v>402.5</v>
      </c>
      <c r="K58" s="170">
        <v>0</v>
      </c>
      <c r="L58" s="170">
        <v>0</v>
      </c>
      <c r="M58" s="170">
        <v>0</v>
      </c>
      <c r="N58" s="170">
        <v>0</v>
      </c>
      <c r="O58" s="171">
        <f t="shared" si="10"/>
        <v>402.5</v>
      </c>
      <c r="P58" s="172">
        <f t="shared" si="82"/>
        <v>402.5</v>
      </c>
      <c r="Q58" s="173">
        <f t="shared" si="77"/>
        <v>0</v>
      </c>
      <c r="R58" s="174">
        <f t="shared" si="50"/>
        <v>402.5</v>
      </c>
      <c r="S58" s="179">
        <v>0</v>
      </c>
      <c r="T58" s="170">
        <v>0</v>
      </c>
      <c r="U58" s="170">
        <v>0</v>
      </c>
      <c r="V58" s="175">
        <v>0</v>
      </c>
      <c r="W58" s="178">
        <f t="shared" si="51"/>
        <v>402.5</v>
      </c>
      <c r="X58" s="179">
        <v>0</v>
      </c>
      <c r="Y58" s="175">
        <v>0</v>
      </c>
      <c r="Z58" s="175">
        <v>0</v>
      </c>
      <c r="AA58" s="175">
        <v>0</v>
      </c>
      <c r="AB58" s="178">
        <f t="shared" si="104"/>
        <v>402.5</v>
      </c>
      <c r="AC58" s="179">
        <v>0</v>
      </c>
      <c r="AD58" s="175">
        <v>0</v>
      </c>
      <c r="AE58" s="175">
        <v>0</v>
      </c>
      <c r="AF58" s="175">
        <v>0</v>
      </c>
      <c r="AG58" s="177">
        <f t="shared" si="53"/>
        <v>402.5</v>
      </c>
      <c r="AH58" s="179">
        <v>0</v>
      </c>
      <c r="AI58" s="175">
        <v>0</v>
      </c>
      <c r="AJ58" s="170">
        <v>-30.244</v>
      </c>
      <c r="AK58" s="175">
        <v>0</v>
      </c>
      <c r="AL58" s="177">
        <f t="shared" si="75"/>
        <v>372.256</v>
      </c>
      <c r="AM58" s="175">
        <v>0</v>
      </c>
      <c r="AN58" s="175">
        <v>0</v>
      </c>
      <c r="AO58" s="175">
        <v>0</v>
      </c>
      <c r="AP58" s="178">
        <f t="shared" si="76"/>
        <v>0</v>
      </c>
      <c r="AQ58" s="179">
        <f t="shared" si="54"/>
        <v>402.5</v>
      </c>
      <c r="AR58" s="175">
        <f t="shared" si="55"/>
        <v>30.244</v>
      </c>
      <c r="AS58" s="170">
        <f t="shared" si="56"/>
        <v>372.256</v>
      </c>
      <c r="AT58" s="180">
        <f t="shared" si="57"/>
        <v>0</v>
      </c>
      <c r="AU58" s="179">
        <v>0</v>
      </c>
      <c r="AV58" s="175">
        <v>0</v>
      </c>
      <c r="AW58" s="170">
        <v>-31.607</v>
      </c>
      <c r="AX58" s="175">
        <v>0</v>
      </c>
      <c r="AY58" s="176">
        <f t="shared" si="58"/>
        <v>340.649</v>
      </c>
      <c r="AZ58" s="175">
        <v>0</v>
      </c>
      <c r="BA58" s="175">
        <v>0</v>
      </c>
      <c r="BB58" s="175">
        <v>0</v>
      </c>
      <c r="BC58" s="178">
        <f t="shared" si="59"/>
        <v>0</v>
      </c>
      <c r="BD58" s="261">
        <v>0</v>
      </c>
      <c r="BE58" s="262">
        <v>0</v>
      </c>
      <c r="BF58" s="262">
        <v>-26.566</v>
      </c>
      <c r="BG58" s="262">
        <v>0</v>
      </c>
      <c r="BH58" s="296">
        <f t="shared" si="60"/>
        <v>314.083</v>
      </c>
      <c r="BI58" s="262">
        <v>0</v>
      </c>
      <c r="BJ58" s="262">
        <v>0</v>
      </c>
      <c r="BK58" s="262">
        <v>0</v>
      </c>
      <c r="BL58" s="307">
        <f t="shared" si="61"/>
        <v>0</v>
      </c>
      <c r="BM58" s="261">
        <v>0</v>
      </c>
      <c r="BN58" s="262">
        <v>0</v>
      </c>
      <c r="BO58" s="262">
        <v>-19.270163</v>
      </c>
      <c r="BP58" s="262">
        <v>0</v>
      </c>
      <c r="BQ58" s="296">
        <f t="shared" si="62"/>
        <v>294.812837</v>
      </c>
      <c r="BR58" s="262">
        <v>0</v>
      </c>
      <c r="BS58" s="262">
        <v>0</v>
      </c>
      <c r="BT58" s="262">
        <v>0</v>
      </c>
      <c r="BU58" s="307">
        <f t="shared" si="84"/>
        <v>0</v>
      </c>
      <c r="BV58" s="272">
        <v>0</v>
      </c>
      <c r="BW58" s="262">
        <v>0</v>
      </c>
      <c r="BX58" s="262">
        <v>-10.692838</v>
      </c>
      <c r="BY58" s="262">
        <v>-129</v>
      </c>
      <c r="BZ58" s="296">
        <f t="shared" si="64"/>
        <v>155.119999</v>
      </c>
      <c r="CA58" s="262">
        <v>0</v>
      </c>
      <c r="CB58" s="262">
        <v>0</v>
      </c>
      <c r="CC58" s="262">
        <v>0</v>
      </c>
      <c r="CD58" s="307">
        <f t="shared" si="85"/>
        <v>0</v>
      </c>
      <c r="CE58" s="261">
        <f t="shared" si="86"/>
        <v>273.5</v>
      </c>
      <c r="CF58" s="263">
        <f t="shared" si="87"/>
        <v>118.380001</v>
      </c>
      <c r="CG58" s="262">
        <f t="shared" si="88"/>
        <v>155.119999</v>
      </c>
      <c r="CH58" s="181">
        <f t="shared" si="69"/>
        <v>0</v>
      </c>
      <c r="CI58" s="272">
        <v>0</v>
      </c>
      <c r="CJ58" s="262">
        <v>0</v>
      </c>
      <c r="CK58" s="262">
        <v>-7.402747</v>
      </c>
      <c r="CL58" s="262">
        <v>0</v>
      </c>
      <c r="CM58" s="296">
        <f t="shared" si="83"/>
        <v>147.717252</v>
      </c>
      <c r="CN58" s="262">
        <v>0</v>
      </c>
      <c r="CO58" s="262">
        <v>0</v>
      </c>
      <c r="CP58" s="262">
        <v>0</v>
      </c>
      <c r="CQ58" s="307">
        <f t="shared" si="89"/>
        <v>0</v>
      </c>
      <c r="CR58" s="272">
        <v>0</v>
      </c>
      <c r="CS58" s="262">
        <v>0</v>
      </c>
      <c r="CT58" s="262">
        <v>-9.165969</v>
      </c>
      <c r="CU58" s="262">
        <v>0</v>
      </c>
      <c r="CV58" s="296">
        <f t="shared" si="78"/>
        <v>138.551283</v>
      </c>
      <c r="CW58" s="262">
        <v>0</v>
      </c>
      <c r="CX58" s="262">
        <v>0</v>
      </c>
      <c r="CY58" s="262">
        <v>0</v>
      </c>
      <c r="CZ58" s="307">
        <f t="shared" si="102"/>
        <v>0</v>
      </c>
      <c r="DA58" s="272">
        <v>0</v>
      </c>
      <c r="DB58" s="262">
        <v>-86</v>
      </c>
      <c r="DC58" s="262">
        <v>-5.535175</v>
      </c>
      <c r="DD58" s="262">
        <v>0</v>
      </c>
      <c r="DE58" s="296">
        <f t="shared" si="80"/>
        <v>47.01610800000001</v>
      </c>
      <c r="DF58" s="262">
        <v>0</v>
      </c>
      <c r="DG58" s="262">
        <v>0</v>
      </c>
      <c r="DH58" s="262">
        <v>0</v>
      </c>
      <c r="DI58" s="307">
        <f t="shared" si="103"/>
        <v>0</v>
      </c>
      <c r="DJ58" s="272">
        <f t="shared" si="71"/>
        <v>187.5</v>
      </c>
      <c r="DK58" s="262">
        <f t="shared" si="72"/>
        <v>140.483892</v>
      </c>
      <c r="DL58" s="262">
        <f t="shared" si="90"/>
        <v>47.016108</v>
      </c>
      <c r="DM58" s="181">
        <f t="shared" si="74"/>
        <v>0</v>
      </c>
      <c r="DN58" s="84"/>
      <c r="DO58" s="38"/>
      <c r="DP58" s="38"/>
      <c r="DQ58" s="38"/>
      <c r="DR58" s="38"/>
      <c r="DS58" s="38"/>
      <c r="DT58" s="38"/>
    </row>
    <row r="59" spans="2:124" s="33" customFormat="1" ht="12.75">
      <c r="B59" s="182" t="s">
        <v>30</v>
      </c>
      <c r="C59" s="183" t="s">
        <v>80</v>
      </c>
      <c r="D59" s="169">
        <v>0</v>
      </c>
      <c r="E59" s="170">
        <v>0</v>
      </c>
      <c r="F59" s="170">
        <v>0</v>
      </c>
      <c r="G59" s="170">
        <v>0</v>
      </c>
      <c r="H59" s="171">
        <f t="shared" si="9"/>
        <v>0</v>
      </c>
      <c r="I59" s="169">
        <v>0</v>
      </c>
      <c r="J59" s="170">
        <v>309.8</v>
      </c>
      <c r="K59" s="170">
        <v>0</v>
      </c>
      <c r="L59" s="170">
        <v>0</v>
      </c>
      <c r="M59" s="170">
        <v>0</v>
      </c>
      <c r="N59" s="170">
        <v>0</v>
      </c>
      <c r="O59" s="171">
        <f t="shared" si="10"/>
        <v>309.8</v>
      </c>
      <c r="P59" s="172">
        <f t="shared" si="82"/>
        <v>309.8</v>
      </c>
      <c r="Q59" s="173">
        <f t="shared" si="77"/>
        <v>0</v>
      </c>
      <c r="R59" s="174">
        <f t="shared" si="50"/>
        <v>309.8</v>
      </c>
      <c r="S59" s="179">
        <v>0</v>
      </c>
      <c r="T59" s="170">
        <v>0</v>
      </c>
      <c r="U59" s="170">
        <v>0</v>
      </c>
      <c r="V59" s="175">
        <v>0</v>
      </c>
      <c r="W59" s="178">
        <f t="shared" si="51"/>
        <v>309.8</v>
      </c>
      <c r="X59" s="179">
        <v>0</v>
      </c>
      <c r="Y59" s="175">
        <v>0</v>
      </c>
      <c r="Z59" s="175">
        <v>0</v>
      </c>
      <c r="AA59" s="175">
        <v>0</v>
      </c>
      <c r="AB59" s="178">
        <f t="shared" si="104"/>
        <v>309.8</v>
      </c>
      <c r="AC59" s="179">
        <v>0</v>
      </c>
      <c r="AD59" s="175">
        <v>0</v>
      </c>
      <c r="AE59" s="175">
        <v>0</v>
      </c>
      <c r="AF59" s="175">
        <v>0</v>
      </c>
      <c r="AG59" s="177">
        <f t="shared" si="53"/>
        <v>309.8</v>
      </c>
      <c r="AH59" s="179">
        <v>0</v>
      </c>
      <c r="AI59" s="175">
        <v>0</v>
      </c>
      <c r="AJ59" s="170">
        <v>-37.205</v>
      </c>
      <c r="AK59" s="175">
        <v>0</v>
      </c>
      <c r="AL59" s="177">
        <f t="shared" si="75"/>
        <v>272.595</v>
      </c>
      <c r="AM59" s="175">
        <v>0</v>
      </c>
      <c r="AN59" s="175">
        <v>0</v>
      </c>
      <c r="AO59" s="175">
        <v>0</v>
      </c>
      <c r="AP59" s="178">
        <f t="shared" si="76"/>
        <v>0</v>
      </c>
      <c r="AQ59" s="179">
        <f t="shared" si="54"/>
        <v>309.8</v>
      </c>
      <c r="AR59" s="175">
        <f t="shared" si="55"/>
        <v>37.205</v>
      </c>
      <c r="AS59" s="170">
        <f t="shared" si="56"/>
        <v>272.595</v>
      </c>
      <c r="AT59" s="180">
        <f t="shared" si="57"/>
        <v>0</v>
      </c>
      <c r="AU59" s="179">
        <v>0</v>
      </c>
      <c r="AV59" s="175">
        <v>0</v>
      </c>
      <c r="AW59" s="170">
        <v>-11.274</v>
      </c>
      <c r="AX59" s="175">
        <v>0</v>
      </c>
      <c r="AY59" s="176">
        <f t="shared" si="58"/>
        <v>261.321</v>
      </c>
      <c r="AZ59" s="175">
        <v>0</v>
      </c>
      <c r="BA59" s="175">
        <v>0</v>
      </c>
      <c r="BB59" s="175">
        <v>0</v>
      </c>
      <c r="BC59" s="178">
        <f t="shared" si="59"/>
        <v>0</v>
      </c>
      <c r="BD59" s="261">
        <v>0</v>
      </c>
      <c r="BE59" s="262">
        <v>0</v>
      </c>
      <c r="BF59" s="262">
        <v>-21.626</v>
      </c>
      <c r="BG59" s="262">
        <v>0</v>
      </c>
      <c r="BH59" s="296">
        <f t="shared" si="60"/>
        <v>239.69500000000002</v>
      </c>
      <c r="BI59" s="262">
        <v>0</v>
      </c>
      <c r="BJ59" s="262">
        <v>0</v>
      </c>
      <c r="BK59" s="262">
        <v>0</v>
      </c>
      <c r="BL59" s="307">
        <f t="shared" si="61"/>
        <v>0</v>
      </c>
      <c r="BM59" s="261">
        <v>0</v>
      </c>
      <c r="BN59" s="262">
        <v>0</v>
      </c>
      <c r="BO59" s="262">
        <v>-18.046006</v>
      </c>
      <c r="BP59" s="262">
        <v>0</v>
      </c>
      <c r="BQ59" s="296">
        <f t="shared" si="62"/>
        <v>221.64899400000002</v>
      </c>
      <c r="BR59" s="262">
        <v>0</v>
      </c>
      <c r="BS59" s="262">
        <v>0</v>
      </c>
      <c r="BT59" s="262">
        <v>0</v>
      </c>
      <c r="BU59" s="307">
        <f t="shared" si="84"/>
        <v>0</v>
      </c>
      <c r="BV59" s="272">
        <v>0</v>
      </c>
      <c r="BW59" s="262">
        <v>0</v>
      </c>
      <c r="BX59" s="262">
        <v>-11.372757</v>
      </c>
      <c r="BY59" s="262">
        <v>-59</v>
      </c>
      <c r="BZ59" s="296">
        <f t="shared" si="64"/>
        <v>151.276237</v>
      </c>
      <c r="CA59" s="262">
        <v>0</v>
      </c>
      <c r="CB59" s="262">
        <v>0</v>
      </c>
      <c r="CC59" s="262">
        <v>0</v>
      </c>
      <c r="CD59" s="307">
        <f t="shared" si="85"/>
        <v>0</v>
      </c>
      <c r="CE59" s="261">
        <f t="shared" si="86"/>
        <v>250.8</v>
      </c>
      <c r="CF59" s="263">
        <f t="shared" si="87"/>
        <v>99.523763</v>
      </c>
      <c r="CG59" s="262">
        <f t="shared" si="88"/>
        <v>151.276237</v>
      </c>
      <c r="CH59" s="181">
        <f t="shared" si="69"/>
        <v>0</v>
      </c>
      <c r="CI59" s="272">
        <v>0</v>
      </c>
      <c r="CJ59" s="262">
        <v>0</v>
      </c>
      <c r="CK59" s="262">
        <v>-2.707444</v>
      </c>
      <c r="CL59" s="262">
        <v>0</v>
      </c>
      <c r="CM59" s="296">
        <f t="shared" si="83"/>
        <v>148.568793</v>
      </c>
      <c r="CN59" s="262">
        <v>0</v>
      </c>
      <c r="CO59" s="262">
        <v>0</v>
      </c>
      <c r="CP59" s="262">
        <v>0</v>
      </c>
      <c r="CQ59" s="307">
        <f t="shared" si="89"/>
        <v>0</v>
      </c>
      <c r="CR59" s="272">
        <v>0</v>
      </c>
      <c r="CS59" s="262">
        <v>0</v>
      </c>
      <c r="CT59" s="262">
        <v>-12.748542</v>
      </c>
      <c r="CU59" s="262">
        <v>0</v>
      </c>
      <c r="CV59" s="296">
        <f t="shared" si="78"/>
        <v>135.82025099999998</v>
      </c>
      <c r="CW59" s="262">
        <v>0</v>
      </c>
      <c r="CX59" s="262">
        <v>0</v>
      </c>
      <c r="CY59" s="262">
        <v>0</v>
      </c>
      <c r="CZ59" s="307">
        <f t="shared" si="102"/>
        <v>0</v>
      </c>
      <c r="DA59" s="272">
        <v>0</v>
      </c>
      <c r="DB59" s="262">
        <v>115</v>
      </c>
      <c r="DC59" s="262">
        <v>-15.091789</v>
      </c>
      <c r="DD59" s="262">
        <v>0</v>
      </c>
      <c r="DE59" s="296">
        <f t="shared" si="80"/>
        <v>235.72846199999998</v>
      </c>
      <c r="DF59" s="262">
        <v>0</v>
      </c>
      <c r="DG59" s="262">
        <v>0</v>
      </c>
      <c r="DH59" s="262">
        <v>0</v>
      </c>
      <c r="DI59" s="307">
        <f t="shared" si="103"/>
        <v>0</v>
      </c>
      <c r="DJ59" s="272">
        <f t="shared" si="71"/>
        <v>365.8</v>
      </c>
      <c r="DK59" s="262">
        <f t="shared" si="72"/>
        <v>130.071538</v>
      </c>
      <c r="DL59" s="262">
        <f t="shared" si="90"/>
        <v>235.728462</v>
      </c>
      <c r="DM59" s="181">
        <f t="shared" si="74"/>
        <v>0</v>
      </c>
      <c r="DN59" s="84"/>
      <c r="DO59" s="38"/>
      <c r="DP59" s="38"/>
      <c r="DQ59" s="38"/>
      <c r="DR59" s="38"/>
      <c r="DS59" s="38"/>
      <c r="DT59" s="38"/>
    </row>
    <row r="60" spans="2:124" s="33" customFormat="1" ht="12.75">
      <c r="B60" s="182" t="s">
        <v>30</v>
      </c>
      <c r="C60" s="183" t="s">
        <v>81</v>
      </c>
      <c r="D60" s="169">
        <v>0</v>
      </c>
      <c r="E60" s="170">
        <v>0</v>
      </c>
      <c r="F60" s="170">
        <v>0</v>
      </c>
      <c r="G60" s="170">
        <v>0</v>
      </c>
      <c r="H60" s="171">
        <f t="shared" si="9"/>
        <v>0</v>
      </c>
      <c r="I60" s="169">
        <v>0</v>
      </c>
      <c r="J60" s="170">
        <v>32.5</v>
      </c>
      <c r="K60" s="170">
        <v>0</v>
      </c>
      <c r="L60" s="170">
        <v>0</v>
      </c>
      <c r="M60" s="170">
        <v>0</v>
      </c>
      <c r="N60" s="170">
        <v>0</v>
      </c>
      <c r="O60" s="171">
        <f t="shared" si="10"/>
        <v>32.5</v>
      </c>
      <c r="P60" s="172">
        <f t="shared" si="82"/>
        <v>32.5</v>
      </c>
      <c r="Q60" s="173">
        <f t="shared" si="77"/>
        <v>0</v>
      </c>
      <c r="R60" s="174">
        <f t="shared" si="50"/>
        <v>32.5</v>
      </c>
      <c r="S60" s="179">
        <v>0</v>
      </c>
      <c r="T60" s="170">
        <v>0</v>
      </c>
      <c r="U60" s="170">
        <v>0</v>
      </c>
      <c r="V60" s="175">
        <v>0</v>
      </c>
      <c r="W60" s="178">
        <f t="shared" si="51"/>
        <v>32.5</v>
      </c>
      <c r="X60" s="179">
        <v>0</v>
      </c>
      <c r="Y60" s="175">
        <v>0</v>
      </c>
      <c r="Z60" s="175">
        <v>0</v>
      </c>
      <c r="AA60" s="175">
        <v>0</v>
      </c>
      <c r="AB60" s="178">
        <f t="shared" si="104"/>
        <v>32.5</v>
      </c>
      <c r="AC60" s="179">
        <v>0</v>
      </c>
      <c r="AD60" s="175">
        <v>0</v>
      </c>
      <c r="AE60" s="175">
        <v>0</v>
      </c>
      <c r="AF60" s="175">
        <v>0</v>
      </c>
      <c r="AG60" s="177">
        <f t="shared" si="53"/>
        <v>32.5</v>
      </c>
      <c r="AH60" s="179">
        <v>0</v>
      </c>
      <c r="AI60" s="175">
        <v>0</v>
      </c>
      <c r="AJ60" s="170">
        <v>0</v>
      </c>
      <c r="AK60" s="175">
        <v>0</v>
      </c>
      <c r="AL60" s="177">
        <f t="shared" si="75"/>
        <v>32.5</v>
      </c>
      <c r="AM60" s="175">
        <v>0</v>
      </c>
      <c r="AN60" s="175">
        <v>0</v>
      </c>
      <c r="AO60" s="175">
        <v>0</v>
      </c>
      <c r="AP60" s="178">
        <f t="shared" si="76"/>
        <v>0</v>
      </c>
      <c r="AQ60" s="179">
        <f t="shared" si="54"/>
        <v>32.5</v>
      </c>
      <c r="AR60" s="175">
        <f t="shared" si="55"/>
        <v>0</v>
      </c>
      <c r="AS60" s="170">
        <f t="shared" si="56"/>
        <v>32.5</v>
      </c>
      <c r="AT60" s="180">
        <f t="shared" si="57"/>
        <v>0</v>
      </c>
      <c r="AU60" s="179">
        <v>0</v>
      </c>
      <c r="AV60" s="175">
        <v>0</v>
      </c>
      <c r="AW60" s="170">
        <v>-1.144</v>
      </c>
      <c r="AX60" s="175">
        <v>0</v>
      </c>
      <c r="AY60" s="176">
        <f t="shared" si="58"/>
        <v>31.356</v>
      </c>
      <c r="AZ60" s="175">
        <v>0</v>
      </c>
      <c r="BA60" s="175">
        <v>0</v>
      </c>
      <c r="BB60" s="175">
        <v>0</v>
      </c>
      <c r="BC60" s="178">
        <f t="shared" si="59"/>
        <v>0</v>
      </c>
      <c r="BD60" s="261">
        <v>0</v>
      </c>
      <c r="BE60" s="262">
        <v>0</v>
      </c>
      <c r="BF60" s="262">
        <v>-3.896</v>
      </c>
      <c r="BG60" s="262">
        <v>0</v>
      </c>
      <c r="BH60" s="296">
        <f t="shared" si="60"/>
        <v>27.46</v>
      </c>
      <c r="BI60" s="262">
        <v>0</v>
      </c>
      <c r="BJ60" s="262">
        <v>0</v>
      </c>
      <c r="BK60" s="262">
        <v>0</v>
      </c>
      <c r="BL60" s="307">
        <f t="shared" si="61"/>
        <v>0</v>
      </c>
      <c r="BM60" s="261">
        <v>0</v>
      </c>
      <c r="BN60" s="262">
        <v>0</v>
      </c>
      <c r="BO60" s="262">
        <v>-5.144214</v>
      </c>
      <c r="BP60" s="262">
        <v>0</v>
      </c>
      <c r="BQ60" s="296">
        <f t="shared" si="62"/>
        <v>22.315786000000003</v>
      </c>
      <c r="BR60" s="262">
        <v>0</v>
      </c>
      <c r="BS60" s="262">
        <v>0</v>
      </c>
      <c r="BT60" s="262">
        <v>0</v>
      </c>
      <c r="BU60" s="307">
        <f t="shared" si="84"/>
        <v>0</v>
      </c>
      <c r="BV60" s="272">
        <v>0</v>
      </c>
      <c r="BW60" s="262">
        <v>0</v>
      </c>
      <c r="BX60" s="262">
        <v>-2.205663</v>
      </c>
      <c r="BY60" s="262">
        <v>119</v>
      </c>
      <c r="BZ60" s="296">
        <f t="shared" si="64"/>
        <v>139.110123</v>
      </c>
      <c r="CA60" s="262">
        <v>0</v>
      </c>
      <c r="CB60" s="262">
        <v>0</v>
      </c>
      <c r="CC60" s="262">
        <v>0</v>
      </c>
      <c r="CD60" s="307">
        <f t="shared" si="85"/>
        <v>0</v>
      </c>
      <c r="CE60" s="261">
        <f t="shared" si="86"/>
        <v>151.5</v>
      </c>
      <c r="CF60" s="263">
        <f t="shared" si="87"/>
        <v>12.389877</v>
      </c>
      <c r="CG60" s="262">
        <f t="shared" si="88"/>
        <v>139.110123</v>
      </c>
      <c r="CH60" s="181">
        <f t="shared" si="69"/>
        <v>0</v>
      </c>
      <c r="CI60" s="272">
        <v>0</v>
      </c>
      <c r="CJ60" s="262">
        <v>0</v>
      </c>
      <c r="CK60" s="262">
        <v>-2.495236</v>
      </c>
      <c r="CL60" s="262">
        <v>0</v>
      </c>
      <c r="CM60" s="296">
        <f t="shared" si="83"/>
        <v>136.61488699999998</v>
      </c>
      <c r="CN60" s="262">
        <v>0</v>
      </c>
      <c r="CO60" s="262">
        <v>0</v>
      </c>
      <c r="CP60" s="262">
        <v>0</v>
      </c>
      <c r="CQ60" s="307">
        <f t="shared" si="89"/>
        <v>0</v>
      </c>
      <c r="CR60" s="272">
        <v>0</v>
      </c>
      <c r="CS60" s="262">
        <v>0</v>
      </c>
      <c r="CT60" s="262">
        <v>-1.269</v>
      </c>
      <c r="CU60" s="262">
        <v>0</v>
      </c>
      <c r="CV60" s="296">
        <f t="shared" si="78"/>
        <v>135.34588699999998</v>
      </c>
      <c r="CW60" s="262">
        <v>0</v>
      </c>
      <c r="CX60" s="262">
        <v>0</v>
      </c>
      <c r="CY60" s="262">
        <v>0</v>
      </c>
      <c r="CZ60" s="307">
        <f t="shared" si="102"/>
        <v>0</v>
      </c>
      <c r="DA60" s="272">
        <v>0</v>
      </c>
      <c r="DB60" s="262">
        <v>-6</v>
      </c>
      <c r="DC60" s="262">
        <v>-3.267202</v>
      </c>
      <c r="DD60" s="262">
        <v>0</v>
      </c>
      <c r="DE60" s="296">
        <f t="shared" si="80"/>
        <v>126.07868499999998</v>
      </c>
      <c r="DF60" s="262">
        <v>0</v>
      </c>
      <c r="DG60" s="262">
        <v>0</v>
      </c>
      <c r="DH60" s="262">
        <v>0</v>
      </c>
      <c r="DI60" s="307">
        <f t="shared" si="103"/>
        <v>0</v>
      </c>
      <c r="DJ60" s="272">
        <f t="shared" si="71"/>
        <v>145.5</v>
      </c>
      <c r="DK60" s="262">
        <f t="shared" si="72"/>
        <v>19.421315</v>
      </c>
      <c r="DL60" s="262">
        <f t="shared" si="90"/>
        <v>126.07868500000001</v>
      </c>
      <c r="DM60" s="181">
        <f t="shared" si="74"/>
        <v>0</v>
      </c>
      <c r="DN60" s="84"/>
      <c r="DO60" s="38"/>
      <c r="DP60" s="38"/>
      <c r="DQ60" s="38"/>
      <c r="DR60" s="38"/>
      <c r="DS60" s="38"/>
      <c r="DT60" s="38"/>
    </row>
    <row r="61" spans="2:124" s="33" customFormat="1" ht="12.75">
      <c r="B61" s="182" t="s">
        <v>30</v>
      </c>
      <c r="C61" s="183" t="s">
        <v>88</v>
      </c>
      <c r="D61" s="169">
        <v>0</v>
      </c>
      <c r="E61" s="170">
        <v>0</v>
      </c>
      <c r="F61" s="170">
        <v>0</v>
      </c>
      <c r="G61" s="170">
        <v>0</v>
      </c>
      <c r="H61" s="171">
        <f t="shared" si="9"/>
        <v>0</v>
      </c>
      <c r="I61" s="169">
        <v>0</v>
      </c>
      <c r="J61" s="170">
        <v>266</v>
      </c>
      <c r="K61" s="170">
        <v>0</v>
      </c>
      <c r="L61" s="170">
        <v>0</v>
      </c>
      <c r="M61" s="170">
        <v>0</v>
      </c>
      <c r="N61" s="170">
        <v>0</v>
      </c>
      <c r="O61" s="171">
        <f t="shared" si="10"/>
        <v>266</v>
      </c>
      <c r="P61" s="172">
        <f t="shared" si="82"/>
        <v>266</v>
      </c>
      <c r="Q61" s="173">
        <f t="shared" si="77"/>
        <v>0</v>
      </c>
      <c r="R61" s="174">
        <f t="shared" si="50"/>
        <v>266</v>
      </c>
      <c r="S61" s="179">
        <v>0</v>
      </c>
      <c r="T61" s="170">
        <v>0</v>
      </c>
      <c r="U61" s="170">
        <v>0</v>
      </c>
      <c r="V61" s="175">
        <v>0</v>
      </c>
      <c r="W61" s="178">
        <f t="shared" si="51"/>
        <v>266</v>
      </c>
      <c r="X61" s="179">
        <v>0</v>
      </c>
      <c r="Y61" s="175">
        <v>0</v>
      </c>
      <c r="Z61" s="175">
        <v>0</v>
      </c>
      <c r="AA61" s="175">
        <v>0</v>
      </c>
      <c r="AB61" s="178">
        <f t="shared" si="104"/>
        <v>266</v>
      </c>
      <c r="AC61" s="179">
        <v>0</v>
      </c>
      <c r="AD61" s="175">
        <v>0</v>
      </c>
      <c r="AE61" s="175">
        <v>0</v>
      </c>
      <c r="AF61" s="175">
        <v>0</v>
      </c>
      <c r="AG61" s="177">
        <f t="shared" si="53"/>
        <v>266</v>
      </c>
      <c r="AH61" s="179">
        <v>0</v>
      </c>
      <c r="AI61" s="175">
        <v>0</v>
      </c>
      <c r="AJ61" s="170">
        <v>-198.385</v>
      </c>
      <c r="AK61" s="175">
        <v>0</v>
      </c>
      <c r="AL61" s="177">
        <f t="shared" si="75"/>
        <v>67.61500000000001</v>
      </c>
      <c r="AM61" s="175">
        <v>0</v>
      </c>
      <c r="AN61" s="175">
        <v>0</v>
      </c>
      <c r="AO61" s="175">
        <v>0</v>
      </c>
      <c r="AP61" s="178">
        <f t="shared" si="76"/>
        <v>0</v>
      </c>
      <c r="AQ61" s="179">
        <f t="shared" si="54"/>
        <v>266</v>
      </c>
      <c r="AR61" s="175">
        <f t="shared" si="55"/>
        <v>198.385</v>
      </c>
      <c r="AS61" s="170">
        <f t="shared" si="56"/>
        <v>67.61500000000001</v>
      </c>
      <c r="AT61" s="180">
        <f t="shared" si="57"/>
        <v>0</v>
      </c>
      <c r="AU61" s="179">
        <v>0</v>
      </c>
      <c r="AV61" s="175">
        <v>0</v>
      </c>
      <c r="AW61" s="170">
        <v>-56.473</v>
      </c>
      <c r="AX61" s="175">
        <v>0</v>
      </c>
      <c r="AY61" s="176">
        <f t="shared" si="58"/>
        <v>11.14200000000001</v>
      </c>
      <c r="AZ61" s="175">
        <v>0</v>
      </c>
      <c r="BA61" s="175">
        <v>0</v>
      </c>
      <c r="BB61" s="175">
        <v>0</v>
      </c>
      <c r="BC61" s="178">
        <f t="shared" si="59"/>
        <v>0</v>
      </c>
      <c r="BD61" s="261">
        <v>0</v>
      </c>
      <c r="BE61" s="262">
        <v>0</v>
      </c>
      <c r="BF61" s="262">
        <v>-21.1</v>
      </c>
      <c r="BG61" s="262">
        <v>0</v>
      </c>
      <c r="BH61" s="296">
        <f t="shared" si="60"/>
        <v>-9.957999999999991</v>
      </c>
      <c r="BI61" s="262">
        <v>0</v>
      </c>
      <c r="BJ61" s="262">
        <v>0</v>
      </c>
      <c r="BK61" s="262">
        <v>0</v>
      </c>
      <c r="BL61" s="307">
        <f t="shared" si="61"/>
        <v>0</v>
      </c>
      <c r="BM61" s="261">
        <v>0</v>
      </c>
      <c r="BN61" s="262">
        <v>0</v>
      </c>
      <c r="BO61" s="262">
        <v>-6.629578</v>
      </c>
      <c r="BP61" s="262">
        <v>0</v>
      </c>
      <c r="BQ61" s="296">
        <f t="shared" si="62"/>
        <v>-16.587577999999993</v>
      </c>
      <c r="BR61" s="262">
        <v>0</v>
      </c>
      <c r="BS61" s="262">
        <v>0</v>
      </c>
      <c r="BT61" s="262">
        <v>0</v>
      </c>
      <c r="BU61" s="307">
        <f t="shared" si="84"/>
        <v>0</v>
      </c>
      <c r="BV61" s="272">
        <v>0</v>
      </c>
      <c r="BW61" s="262">
        <v>0</v>
      </c>
      <c r="BX61" s="262">
        <v>-4.019468</v>
      </c>
      <c r="BY61" s="262">
        <v>65</v>
      </c>
      <c r="BZ61" s="296">
        <f t="shared" si="64"/>
        <v>44.392954</v>
      </c>
      <c r="CA61" s="262">
        <v>0</v>
      </c>
      <c r="CB61" s="262">
        <v>0</v>
      </c>
      <c r="CC61" s="262">
        <v>0</v>
      </c>
      <c r="CD61" s="307">
        <f t="shared" si="85"/>
        <v>0</v>
      </c>
      <c r="CE61" s="261">
        <f t="shared" si="86"/>
        <v>331</v>
      </c>
      <c r="CF61" s="263">
        <f t="shared" si="87"/>
        <v>286.607046</v>
      </c>
      <c r="CG61" s="262">
        <f t="shared" si="88"/>
        <v>44.392953999999975</v>
      </c>
      <c r="CH61" s="181">
        <f t="shared" si="69"/>
        <v>0</v>
      </c>
      <c r="CI61" s="272">
        <v>0</v>
      </c>
      <c r="CJ61" s="262">
        <v>0</v>
      </c>
      <c r="CK61" s="262">
        <v>-0.0223</v>
      </c>
      <c r="CL61" s="262">
        <v>0</v>
      </c>
      <c r="CM61" s="296">
        <f t="shared" si="83"/>
        <v>44.37065399999997</v>
      </c>
      <c r="CN61" s="262">
        <v>0</v>
      </c>
      <c r="CO61" s="262">
        <v>0</v>
      </c>
      <c r="CP61" s="262">
        <v>0</v>
      </c>
      <c r="CQ61" s="307">
        <f t="shared" si="89"/>
        <v>0</v>
      </c>
      <c r="CR61" s="272">
        <v>0</v>
      </c>
      <c r="CS61" s="262">
        <v>0</v>
      </c>
      <c r="CT61" s="262">
        <v>-1.742348</v>
      </c>
      <c r="CU61" s="262">
        <v>0</v>
      </c>
      <c r="CV61" s="296">
        <f t="shared" si="78"/>
        <v>42.628305999999974</v>
      </c>
      <c r="CW61" s="262">
        <v>0</v>
      </c>
      <c r="CX61" s="262">
        <v>0</v>
      </c>
      <c r="CY61" s="262">
        <v>0</v>
      </c>
      <c r="CZ61" s="307">
        <f t="shared" si="102"/>
        <v>0</v>
      </c>
      <c r="DA61" s="272">
        <v>0</v>
      </c>
      <c r="DB61" s="262">
        <v>-21</v>
      </c>
      <c r="DC61" s="262">
        <v>-0.836743</v>
      </c>
      <c r="DD61" s="262">
        <v>0</v>
      </c>
      <c r="DE61" s="296">
        <f t="shared" si="80"/>
        <v>20.791562999999975</v>
      </c>
      <c r="DF61" s="262">
        <v>0</v>
      </c>
      <c r="DG61" s="262">
        <v>0</v>
      </c>
      <c r="DH61" s="262">
        <v>0</v>
      </c>
      <c r="DI61" s="307">
        <f t="shared" si="103"/>
        <v>0</v>
      </c>
      <c r="DJ61" s="272">
        <f t="shared" si="71"/>
        <v>310</v>
      </c>
      <c r="DK61" s="262">
        <f t="shared" si="72"/>
        <v>289.208437</v>
      </c>
      <c r="DL61" s="262">
        <f t="shared" si="90"/>
        <v>20.791562999999996</v>
      </c>
      <c r="DM61" s="181">
        <f t="shared" si="74"/>
        <v>0</v>
      </c>
      <c r="DN61" s="84"/>
      <c r="DO61" s="38"/>
      <c r="DP61" s="38"/>
      <c r="DQ61" s="38"/>
      <c r="DR61" s="38"/>
      <c r="DS61" s="38"/>
      <c r="DT61" s="38"/>
    </row>
    <row r="62" spans="2:124" s="33" customFormat="1" ht="12.75">
      <c r="B62" s="167" t="s">
        <v>30</v>
      </c>
      <c r="C62" s="168" t="s">
        <v>85</v>
      </c>
      <c r="D62" s="169">
        <v>0</v>
      </c>
      <c r="E62" s="170">
        <v>0</v>
      </c>
      <c r="F62" s="170">
        <v>0</v>
      </c>
      <c r="G62" s="170">
        <v>0</v>
      </c>
      <c r="H62" s="171">
        <f>SUM(E62:G62)</f>
        <v>0</v>
      </c>
      <c r="I62" s="169">
        <v>0</v>
      </c>
      <c r="J62" s="170">
        <v>125</v>
      </c>
      <c r="K62" s="170">
        <v>0</v>
      </c>
      <c r="L62" s="170">
        <v>0</v>
      </c>
      <c r="M62" s="170">
        <v>0</v>
      </c>
      <c r="N62" s="170">
        <v>0</v>
      </c>
      <c r="O62" s="171">
        <f>SUM(H62,J62:N62)</f>
        <v>125</v>
      </c>
      <c r="P62" s="172">
        <f t="shared" si="82"/>
        <v>125</v>
      </c>
      <c r="Q62" s="173">
        <f t="shared" si="77"/>
        <v>0</v>
      </c>
      <c r="R62" s="174">
        <f t="shared" si="50"/>
        <v>125</v>
      </c>
      <c r="S62" s="179">
        <v>0</v>
      </c>
      <c r="T62" s="170">
        <v>0</v>
      </c>
      <c r="U62" s="170">
        <v>0</v>
      </c>
      <c r="V62" s="175">
        <v>0</v>
      </c>
      <c r="W62" s="178">
        <f>SUM(R62,T62:V62)</f>
        <v>125</v>
      </c>
      <c r="X62" s="179">
        <v>0</v>
      </c>
      <c r="Y62" s="175">
        <v>0</v>
      </c>
      <c r="Z62" s="175">
        <v>0</v>
      </c>
      <c r="AA62" s="175">
        <v>0</v>
      </c>
      <c r="AB62" s="178">
        <f t="shared" si="104"/>
        <v>125</v>
      </c>
      <c r="AC62" s="179">
        <v>0</v>
      </c>
      <c r="AD62" s="175">
        <v>0</v>
      </c>
      <c r="AE62" s="175">
        <v>0</v>
      </c>
      <c r="AF62" s="175">
        <v>0</v>
      </c>
      <c r="AG62" s="177">
        <f>SUM(AB62,AD62:AF62)</f>
        <v>125</v>
      </c>
      <c r="AH62" s="179">
        <v>0</v>
      </c>
      <c r="AI62" s="175">
        <v>0</v>
      </c>
      <c r="AJ62" s="170">
        <v>0</v>
      </c>
      <c r="AK62" s="175">
        <v>0</v>
      </c>
      <c r="AL62" s="177">
        <f>SUM(AG62,AI62:AK62)</f>
        <v>125</v>
      </c>
      <c r="AM62" s="175">
        <v>0</v>
      </c>
      <c r="AN62" s="175">
        <v>0</v>
      </c>
      <c r="AO62" s="175">
        <v>0</v>
      </c>
      <c r="AP62" s="178">
        <f>SUM(AM62:AO62)</f>
        <v>0</v>
      </c>
      <c r="AQ62" s="179">
        <f>SUM(P62,S62,T62,V62,X62,Y62,AA62,AC62,AD62,AF62,AH62,AI62,AK62,AM62,AO62)</f>
        <v>125</v>
      </c>
      <c r="AR62" s="175">
        <f>SUM(Q62)+(S62+X62+AC62+AH62)+SUM((U62+Z62+AE62+AJ62+AN62)*-1)</f>
        <v>0</v>
      </c>
      <c r="AS62" s="170">
        <f>SUM(AQ62-AR62)</f>
        <v>125</v>
      </c>
      <c r="AT62" s="180">
        <f>SUM(AP62)</f>
        <v>0</v>
      </c>
      <c r="AU62" s="179">
        <v>0</v>
      </c>
      <c r="AV62" s="175">
        <v>0</v>
      </c>
      <c r="AW62" s="170">
        <v>0</v>
      </c>
      <c r="AX62" s="175">
        <v>0</v>
      </c>
      <c r="AY62" s="176">
        <f t="shared" si="58"/>
        <v>125</v>
      </c>
      <c r="AZ62" s="175">
        <v>0</v>
      </c>
      <c r="BA62" s="175">
        <v>0</v>
      </c>
      <c r="BB62" s="175">
        <v>0</v>
      </c>
      <c r="BC62" s="178">
        <f t="shared" si="59"/>
        <v>0</v>
      </c>
      <c r="BD62" s="261">
        <v>0</v>
      </c>
      <c r="BE62" s="262">
        <v>0</v>
      </c>
      <c r="BF62" s="262">
        <v>0</v>
      </c>
      <c r="BG62" s="262">
        <v>0</v>
      </c>
      <c r="BH62" s="296">
        <f t="shared" si="60"/>
        <v>125</v>
      </c>
      <c r="BI62" s="262">
        <v>0</v>
      </c>
      <c r="BJ62" s="262">
        <v>0</v>
      </c>
      <c r="BK62" s="262">
        <v>0</v>
      </c>
      <c r="BL62" s="307">
        <f t="shared" si="61"/>
        <v>0</v>
      </c>
      <c r="BM62" s="261">
        <v>0</v>
      </c>
      <c r="BN62" s="262">
        <v>0</v>
      </c>
      <c r="BO62" s="262">
        <v>0</v>
      </c>
      <c r="BP62" s="262">
        <v>0</v>
      </c>
      <c r="BQ62" s="296">
        <f t="shared" si="62"/>
        <v>125</v>
      </c>
      <c r="BR62" s="262">
        <v>0</v>
      </c>
      <c r="BS62" s="262">
        <v>0</v>
      </c>
      <c r="BT62" s="262">
        <v>0</v>
      </c>
      <c r="BU62" s="307">
        <f t="shared" si="84"/>
        <v>0</v>
      </c>
      <c r="BV62" s="272">
        <v>0</v>
      </c>
      <c r="BW62" s="262">
        <v>0</v>
      </c>
      <c r="BX62" s="262">
        <v>0</v>
      </c>
      <c r="BY62" s="262">
        <v>0</v>
      </c>
      <c r="BZ62" s="296">
        <f t="shared" si="64"/>
        <v>125</v>
      </c>
      <c r="CA62" s="262">
        <v>0</v>
      </c>
      <c r="CB62" s="262">
        <v>0</v>
      </c>
      <c r="CC62" s="262">
        <v>0</v>
      </c>
      <c r="CD62" s="307">
        <f t="shared" si="85"/>
        <v>0</v>
      </c>
      <c r="CE62" s="261">
        <f t="shared" si="86"/>
        <v>125</v>
      </c>
      <c r="CF62" s="263">
        <f t="shared" si="87"/>
        <v>0</v>
      </c>
      <c r="CG62" s="262">
        <f t="shared" si="88"/>
        <v>125</v>
      </c>
      <c r="CH62" s="181">
        <f t="shared" si="69"/>
        <v>0</v>
      </c>
      <c r="CI62" s="272">
        <v>0</v>
      </c>
      <c r="CJ62" s="262">
        <v>0</v>
      </c>
      <c r="CK62" s="262">
        <v>0</v>
      </c>
      <c r="CL62" s="262">
        <v>0</v>
      </c>
      <c r="CM62" s="296">
        <f t="shared" si="83"/>
        <v>125</v>
      </c>
      <c r="CN62" s="262">
        <v>0</v>
      </c>
      <c r="CO62" s="262">
        <v>0</v>
      </c>
      <c r="CP62" s="262">
        <v>0</v>
      </c>
      <c r="CQ62" s="307">
        <f t="shared" si="89"/>
        <v>0</v>
      </c>
      <c r="CR62" s="272">
        <v>0</v>
      </c>
      <c r="CS62" s="262">
        <v>0</v>
      </c>
      <c r="CT62" s="262">
        <v>0</v>
      </c>
      <c r="CU62" s="262">
        <v>0</v>
      </c>
      <c r="CV62" s="296">
        <f t="shared" si="78"/>
        <v>125</v>
      </c>
      <c r="CW62" s="262">
        <v>0</v>
      </c>
      <c r="CX62" s="262">
        <v>0</v>
      </c>
      <c r="CY62" s="262">
        <v>0</v>
      </c>
      <c r="CZ62" s="307">
        <f t="shared" si="102"/>
        <v>0</v>
      </c>
      <c r="DA62" s="272">
        <v>0</v>
      </c>
      <c r="DB62" s="262">
        <v>0</v>
      </c>
      <c r="DC62" s="262">
        <v>0</v>
      </c>
      <c r="DD62" s="262">
        <v>0</v>
      </c>
      <c r="DE62" s="296">
        <f t="shared" si="80"/>
        <v>125</v>
      </c>
      <c r="DF62" s="262">
        <v>0</v>
      </c>
      <c r="DG62" s="262">
        <v>0</v>
      </c>
      <c r="DH62" s="262">
        <v>0</v>
      </c>
      <c r="DI62" s="307">
        <f t="shared" si="103"/>
        <v>0</v>
      </c>
      <c r="DJ62" s="272">
        <f t="shared" si="71"/>
        <v>125</v>
      </c>
      <c r="DK62" s="262">
        <f t="shared" si="72"/>
        <v>0</v>
      </c>
      <c r="DL62" s="262">
        <f t="shared" si="90"/>
        <v>125</v>
      </c>
      <c r="DM62" s="181">
        <f t="shared" si="74"/>
        <v>0</v>
      </c>
      <c r="DN62" s="84"/>
      <c r="DO62" s="38"/>
      <c r="DP62" s="38"/>
      <c r="DQ62" s="38"/>
      <c r="DR62" s="38"/>
      <c r="DS62" s="38"/>
      <c r="DT62" s="38"/>
    </row>
    <row r="63" spans="2:124" s="33" customFormat="1" ht="12.75">
      <c r="B63" s="167" t="s">
        <v>30</v>
      </c>
      <c r="C63" s="168" t="s">
        <v>86</v>
      </c>
      <c r="D63" s="169">
        <v>0</v>
      </c>
      <c r="E63" s="170">
        <v>0</v>
      </c>
      <c r="F63" s="170">
        <v>0</v>
      </c>
      <c r="G63" s="170">
        <v>0</v>
      </c>
      <c r="H63" s="171">
        <f>SUM(E63:G63)</f>
        <v>0</v>
      </c>
      <c r="I63" s="169">
        <v>0</v>
      </c>
      <c r="J63" s="170">
        <v>57</v>
      </c>
      <c r="K63" s="170">
        <v>0</v>
      </c>
      <c r="L63" s="170">
        <v>0</v>
      </c>
      <c r="M63" s="170">
        <v>0</v>
      </c>
      <c r="N63" s="170">
        <v>0</v>
      </c>
      <c r="O63" s="171">
        <f>SUM(H63,J63:N63)</f>
        <v>57</v>
      </c>
      <c r="P63" s="172">
        <f t="shared" si="82"/>
        <v>57</v>
      </c>
      <c r="Q63" s="173">
        <f t="shared" si="77"/>
        <v>0</v>
      </c>
      <c r="R63" s="174">
        <f t="shared" si="50"/>
        <v>57</v>
      </c>
      <c r="S63" s="179">
        <v>0</v>
      </c>
      <c r="T63" s="170">
        <v>0</v>
      </c>
      <c r="U63" s="170">
        <v>0</v>
      </c>
      <c r="V63" s="175">
        <v>0</v>
      </c>
      <c r="W63" s="178">
        <f>SUM(R63,T63:V63)</f>
        <v>57</v>
      </c>
      <c r="X63" s="179">
        <v>0</v>
      </c>
      <c r="Y63" s="175">
        <v>0</v>
      </c>
      <c r="Z63" s="175">
        <v>0</v>
      </c>
      <c r="AA63" s="175">
        <v>0</v>
      </c>
      <c r="AB63" s="178">
        <f t="shared" si="104"/>
        <v>57</v>
      </c>
      <c r="AC63" s="179">
        <v>0</v>
      </c>
      <c r="AD63" s="175">
        <v>0</v>
      </c>
      <c r="AE63" s="175">
        <v>0</v>
      </c>
      <c r="AF63" s="175">
        <v>0</v>
      </c>
      <c r="AG63" s="177">
        <f>SUM(AB63,AD63:AF63)</f>
        <v>57</v>
      </c>
      <c r="AH63" s="179">
        <v>0</v>
      </c>
      <c r="AI63" s="175">
        <v>0</v>
      </c>
      <c r="AJ63" s="170">
        <v>-9.872</v>
      </c>
      <c r="AK63" s="175">
        <v>0</v>
      </c>
      <c r="AL63" s="177">
        <f>SUM(AG63,AI63:AK63)</f>
        <v>47.128</v>
      </c>
      <c r="AM63" s="175">
        <v>0</v>
      </c>
      <c r="AN63" s="175">
        <v>0</v>
      </c>
      <c r="AO63" s="175">
        <v>0</v>
      </c>
      <c r="AP63" s="178">
        <f>SUM(AM63:AO63)</f>
        <v>0</v>
      </c>
      <c r="AQ63" s="179">
        <f>SUM(P63,S63,T63,V63,X63,Y63,AA63,AC63,AD63,AF63,AH63,AI63,AK63,AM63,AO63)</f>
        <v>57</v>
      </c>
      <c r="AR63" s="175">
        <f>SUM(Q63)+(S63+X63+AC63+AH63)+SUM((U63+Z63+AE63+AJ63+AN63)*-1)</f>
        <v>9.872</v>
      </c>
      <c r="AS63" s="170">
        <f>SUM(AQ63-AR63)</f>
        <v>47.128</v>
      </c>
      <c r="AT63" s="180">
        <f>SUM(AP63)</f>
        <v>0</v>
      </c>
      <c r="AU63" s="179">
        <v>0</v>
      </c>
      <c r="AV63" s="175">
        <v>0</v>
      </c>
      <c r="AW63" s="170">
        <v>-10.766</v>
      </c>
      <c r="AX63" s="175">
        <v>0</v>
      </c>
      <c r="AY63" s="176">
        <f t="shared" si="58"/>
        <v>36.362</v>
      </c>
      <c r="AZ63" s="175">
        <v>0</v>
      </c>
      <c r="BA63" s="175">
        <v>0</v>
      </c>
      <c r="BB63" s="175">
        <v>0</v>
      </c>
      <c r="BC63" s="178">
        <f t="shared" si="59"/>
        <v>0</v>
      </c>
      <c r="BD63" s="261">
        <v>0</v>
      </c>
      <c r="BE63" s="262">
        <v>0</v>
      </c>
      <c r="BF63" s="262">
        <v>-4.108</v>
      </c>
      <c r="BG63" s="262">
        <v>0</v>
      </c>
      <c r="BH63" s="296">
        <f t="shared" si="60"/>
        <v>32.254000000000005</v>
      </c>
      <c r="BI63" s="262">
        <v>0</v>
      </c>
      <c r="BJ63" s="262">
        <v>0</v>
      </c>
      <c r="BK63" s="262">
        <v>0</v>
      </c>
      <c r="BL63" s="307">
        <f t="shared" si="61"/>
        <v>0</v>
      </c>
      <c r="BM63" s="261">
        <v>0</v>
      </c>
      <c r="BN63" s="262">
        <v>0</v>
      </c>
      <c r="BO63" s="262">
        <v>-0.101609</v>
      </c>
      <c r="BP63" s="262">
        <v>0</v>
      </c>
      <c r="BQ63" s="296">
        <f t="shared" si="62"/>
        <v>32.152391</v>
      </c>
      <c r="BR63" s="262">
        <v>0</v>
      </c>
      <c r="BS63" s="262">
        <v>0</v>
      </c>
      <c r="BT63" s="262">
        <v>0</v>
      </c>
      <c r="BU63" s="307">
        <f t="shared" si="84"/>
        <v>0</v>
      </c>
      <c r="BV63" s="272">
        <v>0</v>
      </c>
      <c r="BW63" s="262">
        <v>0</v>
      </c>
      <c r="BX63" s="262">
        <v>-8.662837</v>
      </c>
      <c r="BY63" s="262">
        <v>0</v>
      </c>
      <c r="BZ63" s="296">
        <f t="shared" si="64"/>
        <v>23.489554000000002</v>
      </c>
      <c r="CA63" s="262">
        <v>0</v>
      </c>
      <c r="CB63" s="262">
        <v>0</v>
      </c>
      <c r="CC63" s="262">
        <v>0</v>
      </c>
      <c r="CD63" s="307">
        <f t="shared" si="85"/>
        <v>0</v>
      </c>
      <c r="CE63" s="261">
        <f t="shared" si="86"/>
        <v>57</v>
      </c>
      <c r="CF63" s="263">
        <f t="shared" si="87"/>
        <v>33.510446</v>
      </c>
      <c r="CG63" s="262">
        <f t="shared" si="88"/>
        <v>23.489554</v>
      </c>
      <c r="CH63" s="181">
        <f t="shared" si="69"/>
        <v>0</v>
      </c>
      <c r="CI63" s="272">
        <v>0</v>
      </c>
      <c r="CJ63" s="262">
        <v>0</v>
      </c>
      <c r="CK63" s="262">
        <v>-10.520379</v>
      </c>
      <c r="CL63" s="262">
        <v>0</v>
      </c>
      <c r="CM63" s="296">
        <f t="shared" si="83"/>
        <v>12.969174999999998</v>
      </c>
      <c r="CN63" s="262">
        <v>0</v>
      </c>
      <c r="CO63" s="262">
        <v>0</v>
      </c>
      <c r="CP63" s="262">
        <v>0</v>
      </c>
      <c r="CQ63" s="307">
        <f t="shared" si="89"/>
        <v>0</v>
      </c>
      <c r="CR63" s="272">
        <v>0</v>
      </c>
      <c r="CS63" s="262">
        <v>0</v>
      </c>
      <c r="CT63" s="262">
        <v>-5.933883</v>
      </c>
      <c r="CU63" s="262">
        <v>0</v>
      </c>
      <c r="CV63" s="296">
        <f t="shared" si="78"/>
        <v>7.035291999999998</v>
      </c>
      <c r="CW63" s="262">
        <v>0</v>
      </c>
      <c r="CX63" s="262">
        <v>0</v>
      </c>
      <c r="CY63" s="262">
        <v>0</v>
      </c>
      <c r="CZ63" s="307">
        <f t="shared" si="102"/>
        <v>0</v>
      </c>
      <c r="DA63" s="272">
        <v>0</v>
      </c>
      <c r="DB63" s="262">
        <v>0</v>
      </c>
      <c r="DC63" s="262">
        <v>-2.664487</v>
      </c>
      <c r="DD63" s="262">
        <v>0</v>
      </c>
      <c r="DE63" s="296">
        <f t="shared" si="80"/>
        <v>4.370804999999999</v>
      </c>
      <c r="DF63" s="262">
        <v>0</v>
      </c>
      <c r="DG63" s="262">
        <v>0</v>
      </c>
      <c r="DH63" s="262">
        <v>0</v>
      </c>
      <c r="DI63" s="307">
        <f t="shared" si="103"/>
        <v>0</v>
      </c>
      <c r="DJ63" s="272">
        <f t="shared" si="71"/>
        <v>57</v>
      </c>
      <c r="DK63" s="262">
        <f t="shared" si="72"/>
        <v>52.629195</v>
      </c>
      <c r="DL63" s="262">
        <f t="shared" si="90"/>
        <v>4.370804999999997</v>
      </c>
      <c r="DM63" s="181">
        <f t="shared" si="74"/>
        <v>0</v>
      </c>
      <c r="DN63" s="84"/>
      <c r="DO63" s="38"/>
      <c r="DP63" s="38"/>
      <c r="DQ63" s="38"/>
      <c r="DR63" s="38"/>
      <c r="DS63" s="38"/>
      <c r="DT63" s="38"/>
    </row>
    <row r="64" spans="2:124" s="33" customFormat="1" ht="12.75">
      <c r="B64" s="182" t="s">
        <v>30</v>
      </c>
      <c r="C64" s="183" t="s">
        <v>82</v>
      </c>
      <c r="D64" s="169">
        <v>0</v>
      </c>
      <c r="E64" s="170">
        <v>0</v>
      </c>
      <c r="F64" s="170">
        <v>0</v>
      </c>
      <c r="G64" s="170">
        <v>0</v>
      </c>
      <c r="H64" s="171">
        <f t="shared" si="9"/>
        <v>0</v>
      </c>
      <c r="I64" s="169">
        <v>0</v>
      </c>
      <c r="J64" s="170">
        <v>105</v>
      </c>
      <c r="K64" s="170">
        <v>0</v>
      </c>
      <c r="L64" s="170">
        <v>0</v>
      </c>
      <c r="M64" s="170">
        <v>0</v>
      </c>
      <c r="N64" s="170">
        <v>0</v>
      </c>
      <c r="O64" s="171">
        <f t="shared" si="10"/>
        <v>105</v>
      </c>
      <c r="P64" s="172">
        <f t="shared" si="82"/>
        <v>105</v>
      </c>
      <c r="Q64" s="173">
        <f t="shared" si="77"/>
        <v>0</v>
      </c>
      <c r="R64" s="174">
        <f t="shared" si="50"/>
        <v>105</v>
      </c>
      <c r="S64" s="179">
        <v>0</v>
      </c>
      <c r="T64" s="170">
        <v>0</v>
      </c>
      <c r="U64" s="170">
        <v>0</v>
      </c>
      <c r="V64" s="175">
        <v>0</v>
      </c>
      <c r="W64" s="178">
        <f t="shared" si="51"/>
        <v>105</v>
      </c>
      <c r="X64" s="179">
        <v>0</v>
      </c>
      <c r="Y64" s="175">
        <v>0</v>
      </c>
      <c r="Z64" s="175">
        <v>-4.783426</v>
      </c>
      <c r="AA64" s="175">
        <v>0</v>
      </c>
      <c r="AB64" s="178">
        <f t="shared" si="104"/>
        <v>100.216574</v>
      </c>
      <c r="AC64" s="179">
        <v>0</v>
      </c>
      <c r="AD64" s="175">
        <v>0</v>
      </c>
      <c r="AE64" s="175">
        <f>-15.949082</f>
        <v>-15.949082</v>
      </c>
      <c r="AF64" s="175">
        <v>0</v>
      </c>
      <c r="AG64" s="177">
        <f t="shared" si="53"/>
        <v>84.26749199999999</v>
      </c>
      <c r="AH64" s="179">
        <v>0</v>
      </c>
      <c r="AI64" s="175">
        <v>0</v>
      </c>
      <c r="AJ64" s="170">
        <v>0</v>
      </c>
      <c r="AK64" s="175">
        <v>0</v>
      </c>
      <c r="AL64" s="177">
        <f t="shared" si="75"/>
        <v>84.26749199999999</v>
      </c>
      <c r="AM64" s="175">
        <v>0</v>
      </c>
      <c r="AN64" s="175">
        <v>0</v>
      </c>
      <c r="AO64" s="175">
        <v>0</v>
      </c>
      <c r="AP64" s="178">
        <f t="shared" si="76"/>
        <v>0</v>
      </c>
      <c r="AQ64" s="179">
        <f t="shared" si="54"/>
        <v>105</v>
      </c>
      <c r="AR64" s="175">
        <f t="shared" si="55"/>
        <v>20.732508000000003</v>
      </c>
      <c r="AS64" s="170">
        <f t="shared" si="56"/>
        <v>84.267492</v>
      </c>
      <c r="AT64" s="180">
        <f t="shared" si="57"/>
        <v>0</v>
      </c>
      <c r="AU64" s="179">
        <v>0</v>
      </c>
      <c r="AV64" s="175">
        <v>0</v>
      </c>
      <c r="AW64" s="170">
        <v>0</v>
      </c>
      <c r="AX64" s="298">
        <f>SUM(AS64*-1)</f>
        <v>-84.267492</v>
      </c>
      <c r="AY64" s="176">
        <f t="shared" si="58"/>
        <v>0</v>
      </c>
      <c r="AZ64" s="175">
        <f>SUM(AX64*-1)</f>
        <v>84.267492</v>
      </c>
      <c r="BA64" s="175">
        <v>0</v>
      </c>
      <c r="BB64" s="175">
        <v>0</v>
      </c>
      <c r="BC64" s="178">
        <f t="shared" si="59"/>
        <v>84.267492</v>
      </c>
      <c r="BD64" s="261">
        <v>0</v>
      </c>
      <c r="BE64" s="262">
        <v>0</v>
      </c>
      <c r="BF64" s="262">
        <v>0</v>
      </c>
      <c r="BG64" s="262">
        <v>0</v>
      </c>
      <c r="BH64" s="296">
        <f t="shared" si="60"/>
        <v>0</v>
      </c>
      <c r="BI64" s="262">
        <v>0</v>
      </c>
      <c r="BJ64" s="262">
        <v>-33.191716</v>
      </c>
      <c r="BK64" s="262">
        <v>0</v>
      </c>
      <c r="BL64" s="307">
        <f>SUM(BC64,BI64,BJ64,BK64)</f>
        <v>51.075776000000005</v>
      </c>
      <c r="BM64" s="261">
        <v>0</v>
      </c>
      <c r="BN64" s="262">
        <v>0</v>
      </c>
      <c r="BO64" s="262">
        <v>0</v>
      </c>
      <c r="BP64" s="262">
        <v>0</v>
      </c>
      <c r="BQ64" s="296">
        <f t="shared" si="62"/>
        <v>0</v>
      </c>
      <c r="BR64" s="262">
        <v>0</v>
      </c>
      <c r="BS64" s="262">
        <v>0</v>
      </c>
      <c r="BT64" s="262">
        <v>0</v>
      </c>
      <c r="BU64" s="307">
        <f>SUM(BL64,BR64,BS64,BT64)</f>
        <v>51.075776000000005</v>
      </c>
      <c r="BV64" s="272">
        <v>0</v>
      </c>
      <c r="BW64" s="262">
        <v>0</v>
      </c>
      <c r="BX64" s="262">
        <v>0</v>
      </c>
      <c r="BY64" s="262">
        <v>0</v>
      </c>
      <c r="BZ64" s="296">
        <f t="shared" si="64"/>
        <v>0</v>
      </c>
      <c r="CA64" s="262">
        <v>0</v>
      </c>
      <c r="CB64" s="262">
        <v>0</v>
      </c>
      <c r="CC64" s="262">
        <v>0</v>
      </c>
      <c r="CD64" s="307">
        <f>SUM(BU64,CA64,CB64,CC64)</f>
        <v>51.075776000000005</v>
      </c>
      <c r="CE64" s="272">
        <f>SUM(AQ64,AU64,AV64,AX64,BD64,BE64,BG64+AZ64,BR64,BT64,CA64,CC64)</f>
        <v>105</v>
      </c>
      <c r="CF64" s="262">
        <f>SUM(AR64-AW64-BF64-BJ64-BS64-CB64)</f>
        <v>53.924224</v>
      </c>
      <c r="CG64" s="262">
        <v>0</v>
      </c>
      <c r="CH64" s="181">
        <f>SUM(CE64-CF64)</f>
        <v>51.075776</v>
      </c>
      <c r="CI64" s="272">
        <v>0</v>
      </c>
      <c r="CJ64" s="262">
        <v>0</v>
      </c>
      <c r="CK64" s="262">
        <v>0</v>
      </c>
      <c r="CL64" s="262">
        <v>0</v>
      </c>
      <c r="CM64" s="296">
        <f t="shared" si="83"/>
        <v>0</v>
      </c>
      <c r="CN64" s="262">
        <v>0</v>
      </c>
      <c r="CO64" s="262">
        <v>0</v>
      </c>
      <c r="CP64" s="262">
        <v>0</v>
      </c>
      <c r="CQ64" s="307">
        <f>SUM(CH64,CN64,CO64,CP64)</f>
        <v>51.075776</v>
      </c>
      <c r="CR64" s="272">
        <v>0</v>
      </c>
      <c r="CS64" s="262">
        <v>0</v>
      </c>
      <c r="CT64" s="262">
        <v>0</v>
      </c>
      <c r="CU64" s="262">
        <v>0</v>
      </c>
      <c r="CV64" s="296">
        <f t="shared" si="78"/>
        <v>0</v>
      </c>
      <c r="CW64" s="262">
        <v>0</v>
      </c>
      <c r="CX64" s="262">
        <v>-25.157514</v>
      </c>
      <c r="CY64" s="262">
        <v>0</v>
      </c>
      <c r="CZ64" s="307">
        <f t="shared" si="102"/>
        <v>25.918262</v>
      </c>
      <c r="DA64" s="272">
        <v>0</v>
      </c>
      <c r="DB64" s="262">
        <v>0</v>
      </c>
      <c r="DC64" s="262">
        <v>0</v>
      </c>
      <c r="DD64" s="262">
        <v>0</v>
      </c>
      <c r="DE64" s="296">
        <f t="shared" si="80"/>
        <v>0</v>
      </c>
      <c r="DF64" s="262">
        <v>0</v>
      </c>
      <c r="DG64" s="262">
        <v>0</v>
      </c>
      <c r="DH64" s="262">
        <v>0</v>
      </c>
      <c r="DI64" s="307">
        <f t="shared" si="103"/>
        <v>25.918262</v>
      </c>
      <c r="DJ64" s="272">
        <f t="shared" si="71"/>
        <v>105</v>
      </c>
      <c r="DK64" s="262">
        <f t="shared" si="72"/>
        <v>79.081738</v>
      </c>
      <c r="DL64" s="262">
        <v>0</v>
      </c>
      <c r="DM64" s="181">
        <f t="shared" si="74"/>
        <v>25.918262</v>
      </c>
      <c r="DN64" s="84"/>
      <c r="DO64" s="38"/>
      <c r="DP64" s="38"/>
      <c r="DQ64" s="38"/>
      <c r="DR64" s="38"/>
      <c r="DS64" s="38"/>
      <c r="DT64" s="38"/>
    </row>
    <row r="65" spans="2:124" s="33" customFormat="1" ht="12.75">
      <c r="B65" s="182" t="s">
        <v>30</v>
      </c>
      <c r="C65" s="183" t="s">
        <v>83</v>
      </c>
      <c r="D65" s="169">
        <v>0</v>
      </c>
      <c r="E65" s="170">
        <v>0</v>
      </c>
      <c r="F65" s="170">
        <v>0</v>
      </c>
      <c r="G65" s="170">
        <v>0</v>
      </c>
      <c r="H65" s="171">
        <f>SUM(E65:G65)</f>
        <v>0</v>
      </c>
      <c r="I65" s="169">
        <v>0</v>
      </c>
      <c r="J65" s="170">
        <v>258.8</v>
      </c>
      <c r="K65" s="170">
        <v>0</v>
      </c>
      <c r="L65" s="170">
        <v>0</v>
      </c>
      <c r="M65" s="170">
        <v>0</v>
      </c>
      <c r="N65" s="170">
        <v>0</v>
      </c>
      <c r="O65" s="171">
        <f>SUM(H65,J65:N65)</f>
        <v>258.8</v>
      </c>
      <c r="P65" s="172">
        <f t="shared" si="82"/>
        <v>258.8</v>
      </c>
      <c r="Q65" s="173">
        <f t="shared" si="77"/>
        <v>0</v>
      </c>
      <c r="R65" s="174">
        <f t="shared" si="50"/>
        <v>258.8</v>
      </c>
      <c r="S65" s="179">
        <v>0</v>
      </c>
      <c r="T65" s="170">
        <v>0</v>
      </c>
      <c r="U65" s="170">
        <v>0</v>
      </c>
      <c r="V65" s="175">
        <v>0</v>
      </c>
      <c r="W65" s="178">
        <f>SUM(R65,T65:V65)</f>
        <v>258.8</v>
      </c>
      <c r="X65" s="179">
        <v>0</v>
      </c>
      <c r="Y65" s="175">
        <v>0</v>
      </c>
      <c r="Z65" s="175">
        <v>0</v>
      </c>
      <c r="AA65" s="175">
        <v>0</v>
      </c>
      <c r="AB65" s="178">
        <f t="shared" si="104"/>
        <v>258.8</v>
      </c>
      <c r="AC65" s="179">
        <v>0</v>
      </c>
      <c r="AD65" s="175">
        <v>0</v>
      </c>
      <c r="AE65" s="175">
        <v>0</v>
      </c>
      <c r="AF65" s="175">
        <v>0</v>
      </c>
      <c r="AG65" s="177">
        <f t="shared" si="53"/>
        <v>258.8</v>
      </c>
      <c r="AH65" s="179">
        <v>0</v>
      </c>
      <c r="AI65" s="175">
        <v>0</v>
      </c>
      <c r="AJ65" s="170">
        <v>0</v>
      </c>
      <c r="AK65" s="175">
        <v>0</v>
      </c>
      <c r="AL65" s="177">
        <f t="shared" si="75"/>
        <v>258.8</v>
      </c>
      <c r="AM65" s="175">
        <v>0</v>
      </c>
      <c r="AN65" s="175">
        <v>0</v>
      </c>
      <c r="AO65" s="175">
        <v>0</v>
      </c>
      <c r="AP65" s="178">
        <f t="shared" si="76"/>
        <v>0</v>
      </c>
      <c r="AQ65" s="179">
        <f t="shared" si="54"/>
        <v>258.8</v>
      </c>
      <c r="AR65" s="175">
        <f t="shared" si="55"/>
        <v>0</v>
      </c>
      <c r="AS65" s="170">
        <f t="shared" si="56"/>
        <v>258.8</v>
      </c>
      <c r="AT65" s="180">
        <f t="shared" si="57"/>
        <v>0</v>
      </c>
      <c r="AU65" s="179">
        <v>0</v>
      </c>
      <c r="AV65" s="175">
        <v>0</v>
      </c>
      <c r="AW65" s="170">
        <v>0</v>
      </c>
      <c r="AX65" s="175">
        <v>0</v>
      </c>
      <c r="AY65" s="176">
        <f t="shared" si="58"/>
        <v>258.8</v>
      </c>
      <c r="AZ65" s="175">
        <v>0</v>
      </c>
      <c r="BA65" s="175">
        <v>0</v>
      </c>
      <c r="BB65" s="175">
        <v>0</v>
      </c>
      <c r="BC65" s="178">
        <f t="shared" si="59"/>
        <v>0</v>
      </c>
      <c r="BD65" s="261">
        <v>0</v>
      </c>
      <c r="BE65" s="262">
        <v>0</v>
      </c>
      <c r="BF65" s="262">
        <v>0</v>
      </c>
      <c r="BG65" s="262">
        <v>0</v>
      </c>
      <c r="BH65" s="296">
        <f t="shared" si="60"/>
        <v>258.8</v>
      </c>
      <c r="BI65" s="262">
        <v>0</v>
      </c>
      <c r="BJ65" s="262">
        <v>0</v>
      </c>
      <c r="BK65" s="262">
        <v>0</v>
      </c>
      <c r="BL65" s="307">
        <f t="shared" si="61"/>
        <v>0</v>
      </c>
      <c r="BM65" s="261">
        <v>0</v>
      </c>
      <c r="BN65" s="262">
        <v>0</v>
      </c>
      <c r="BO65" s="262">
        <v>0</v>
      </c>
      <c r="BP65" s="262">
        <v>0</v>
      </c>
      <c r="BQ65" s="296">
        <f t="shared" si="62"/>
        <v>258.8</v>
      </c>
      <c r="BR65" s="262">
        <v>0</v>
      </c>
      <c r="BS65" s="262">
        <v>0</v>
      </c>
      <c r="BT65" s="262">
        <v>0</v>
      </c>
      <c r="BU65" s="307">
        <f aca="true" t="shared" si="105" ref="BU65:BU73">SUM(BR65:BT65)</f>
        <v>0</v>
      </c>
      <c r="BV65" s="272">
        <v>0</v>
      </c>
      <c r="BW65" s="262">
        <v>0</v>
      </c>
      <c r="BX65" s="262">
        <v>0</v>
      </c>
      <c r="BY65" s="262">
        <v>0</v>
      </c>
      <c r="BZ65" s="296">
        <f t="shared" si="64"/>
        <v>258.8</v>
      </c>
      <c r="CA65" s="262">
        <v>0</v>
      </c>
      <c r="CB65" s="262">
        <v>0</v>
      </c>
      <c r="CC65" s="262">
        <v>0</v>
      </c>
      <c r="CD65" s="307">
        <f aca="true" t="shared" si="106" ref="CD65:CD73">SUM(CA65:CC65)</f>
        <v>0</v>
      </c>
      <c r="CE65" s="261">
        <f aca="true" t="shared" si="107" ref="CE65:CE73">SUM(AQ65,AU65,AV65,AX65,BD65,BE65,BG65,BM65,BN65,BP65,BV65,BW65,BY65)</f>
        <v>258.8</v>
      </c>
      <c r="CF65" s="263">
        <f aca="true" t="shared" si="108" ref="CF65:CF73">SUM(AR65-AW65-BF65-BO65-BX65)</f>
        <v>0</v>
      </c>
      <c r="CG65" s="262">
        <f aca="true" t="shared" si="109" ref="CG65:CG73">SUM(CE65-CF65)</f>
        <v>258.8</v>
      </c>
      <c r="CH65" s="181">
        <f t="shared" si="69"/>
        <v>0</v>
      </c>
      <c r="CI65" s="272">
        <v>0</v>
      </c>
      <c r="CJ65" s="262">
        <v>0</v>
      </c>
      <c r="CK65" s="262">
        <v>0</v>
      </c>
      <c r="CL65" s="262">
        <v>0</v>
      </c>
      <c r="CM65" s="296">
        <f t="shared" si="83"/>
        <v>258.8</v>
      </c>
      <c r="CN65" s="262">
        <v>0</v>
      </c>
      <c r="CO65" s="262">
        <v>0</v>
      </c>
      <c r="CP65" s="262">
        <v>0</v>
      </c>
      <c r="CQ65" s="307">
        <f aca="true" t="shared" si="110" ref="CQ65:CQ73">SUM(CN65:CP65)</f>
        <v>0</v>
      </c>
      <c r="CR65" s="272">
        <v>0</v>
      </c>
      <c r="CS65" s="262">
        <v>0</v>
      </c>
      <c r="CT65" s="262">
        <v>-0.0663</v>
      </c>
      <c r="CU65" s="262">
        <v>0</v>
      </c>
      <c r="CV65" s="296">
        <f t="shared" si="78"/>
        <v>258.7337</v>
      </c>
      <c r="CW65" s="262">
        <v>0</v>
      </c>
      <c r="CX65" s="262">
        <v>0</v>
      </c>
      <c r="CY65" s="262">
        <v>0</v>
      </c>
      <c r="CZ65" s="307">
        <f t="shared" si="102"/>
        <v>0</v>
      </c>
      <c r="DA65" s="272">
        <v>0</v>
      </c>
      <c r="DB65" s="262">
        <v>0</v>
      </c>
      <c r="DC65" s="262">
        <f>-0.048828-0.067642</f>
        <v>-0.11646999999999999</v>
      </c>
      <c r="DD65" s="262">
        <v>0</v>
      </c>
      <c r="DE65" s="296">
        <f t="shared" si="80"/>
        <v>258.61723</v>
      </c>
      <c r="DF65" s="262">
        <v>0</v>
      </c>
      <c r="DG65" s="262">
        <v>0</v>
      </c>
      <c r="DH65" s="262">
        <v>0</v>
      </c>
      <c r="DI65" s="307">
        <f t="shared" si="103"/>
        <v>0</v>
      </c>
      <c r="DJ65" s="272">
        <f t="shared" si="71"/>
        <v>258.8</v>
      </c>
      <c r="DK65" s="262">
        <f t="shared" si="72"/>
        <v>0.18277</v>
      </c>
      <c r="DL65" s="262">
        <f aca="true" t="shared" si="111" ref="DL65:DL73">SUM(DJ65-DK65)</f>
        <v>258.61723</v>
      </c>
      <c r="DM65" s="181">
        <f t="shared" si="74"/>
        <v>0</v>
      </c>
      <c r="DN65" s="84"/>
      <c r="DO65" s="38"/>
      <c r="DP65" s="38"/>
      <c r="DQ65" s="38"/>
      <c r="DR65" s="38"/>
      <c r="DS65" s="38"/>
      <c r="DT65" s="38"/>
    </row>
    <row r="66" spans="2:124" s="33" customFormat="1" ht="12.75">
      <c r="B66" s="167" t="s">
        <v>30</v>
      </c>
      <c r="C66" s="168" t="s">
        <v>84</v>
      </c>
      <c r="D66" s="169">
        <v>0</v>
      </c>
      <c r="E66" s="170">
        <v>0</v>
      </c>
      <c r="F66" s="170">
        <v>0</v>
      </c>
      <c r="G66" s="170">
        <v>0</v>
      </c>
      <c r="H66" s="171">
        <f t="shared" si="9"/>
        <v>0</v>
      </c>
      <c r="I66" s="169">
        <v>0</v>
      </c>
      <c r="J66" s="170">
        <v>35</v>
      </c>
      <c r="K66" s="170">
        <v>0</v>
      </c>
      <c r="L66" s="170">
        <v>0</v>
      </c>
      <c r="M66" s="170">
        <v>0</v>
      </c>
      <c r="N66" s="170">
        <v>0</v>
      </c>
      <c r="O66" s="171">
        <f t="shared" si="10"/>
        <v>35</v>
      </c>
      <c r="P66" s="172">
        <f t="shared" si="82"/>
        <v>35</v>
      </c>
      <c r="Q66" s="173">
        <f t="shared" si="77"/>
        <v>0</v>
      </c>
      <c r="R66" s="174">
        <f t="shared" si="50"/>
        <v>35</v>
      </c>
      <c r="S66" s="179">
        <v>0</v>
      </c>
      <c r="T66" s="170">
        <v>0</v>
      </c>
      <c r="U66" s="170">
        <v>0</v>
      </c>
      <c r="V66" s="175">
        <v>0</v>
      </c>
      <c r="W66" s="178">
        <f>SUM(R66,T66:V66)</f>
        <v>35</v>
      </c>
      <c r="X66" s="179">
        <v>0</v>
      </c>
      <c r="Y66" s="175">
        <v>0</v>
      </c>
      <c r="Z66" s="175">
        <v>-1.3435</v>
      </c>
      <c r="AA66" s="175">
        <v>0</v>
      </c>
      <c r="AB66" s="178">
        <f t="shared" si="104"/>
        <v>33.6565</v>
      </c>
      <c r="AC66" s="179">
        <v>0</v>
      </c>
      <c r="AD66" s="175">
        <v>0</v>
      </c>
      <c r="AE66" s="175">
        <v>-4.867</v>
      </c>
      <c r="AF66" s="175">
        <v>0</v>
      </c>
      <c r="AG66" s="177">
        <f t="shared" si="53"/>
        <v>28.7895</v>
      </c>
      <c r="AH66" s="179">
        <v>0</v>
      </c>
      <c r="AI66" s="175">
        <v>0</v>
      </c>
      <c r="AJ66" s="170">
        <v>-6.434</v>
      </c>
      <c r="AK66" s="175">
        <v>0</v>
      </c>
      <c r="AL66" s="177">
        <f t="shared" si="75"/>
        <v>22.3555</v>
      </c>
      <c r="AM66" s="175">
        <v>0</v>
      </c>
      <c r="AN66" s="175">
        <v>0</v>
      </c>
      <c r="AO66" s="175">
        <v>0</v>
      </c>
      <c r="AP66" s="178">
        <f t="shared" si="76"/>
        <v>0</v>
      </c>
      <c r="AQ66" s="179">
        <f t="shared" si="54"/>
        <v>35</v>
      </c>
      <c r="AR66" s="175">
        <f t="shared" si="55"/>
        <v>12.6445</v>
      </c>
      <c r="AS66" s="170">
        <f t="shared" si="56"/>
        <v>22.3555</v>
      </c>
      <c r="AT66" s="180">
        <f t="shared" si="57"/>
        <v>0</v>
      </c>
      <c r="AU66" s="179">
        <v>0</v>
      </c>
      <c r="AV66" s="175">
        <v>0</v>
      </c>
      <c r="AW66" s="170">
        <v>-4.225</v>
      </c>
      <c r="AX66" s="175">
        <v>-0.001</v>
      </c>
      <c r="AY66" s="176">
        <f t="shared" si="58"/>
        <v>18.129499999999997</v>
      </c>
      <c r="AZ66" s="175">
        <v>0</v>
      </c>
      <c r="BA66" s="175">
        <v>0</v>
      </c>
      <c r="BB66" s="175">
        <v>0</v>
      </c>
      <c r="BC66" s="178">
        <f t="shared" si="59"/>
        <v>0</v>
      </c>
      <c r="BD66" s="261">
        <v>0</v>
      </c>
      <c r="BE66" s="262">
        <v>0</v>
      </c>
      <c r="BF66" s="262">
        <v>-2.7995</v>
      </c>
      <c r="BG66" s="262">
        <v>0</v>
      </c>
      <c r="BH66" s="296">
        <f t="shared" si="60"/>
        <v>15.329999999999997</v>
      </c>
      <c r="BI66" s="262">
        <v>0</v>
      </c>
      <c r="BJ66" s="262">
        <v>0</v>
      </c>
      <c r="BK66" s="262">
        <v>0</v>
      </c>
      <c r="BL66" s="307">
        <f t="shared" si="61"/>
        <v>0</v>
      </c>
      <c r="BM66" s="261">
        <v>0</v>
      </c>
      <c r="BN66" s="262">
        <v>0</v>
      </c>
      <c r="BO66" s="262">
        <v>-1.163213</v>
      </c>
      <c r="BP66" s="262">
        <v>0</v>
      </c>
      <c r="BQ66" s="296">
        <f t="shared" si="62"/>
        <v>14.166786999999996</v>
      </c>
      <c r="BR66" s="262">
        <v>0</v>
      </c>
      <c r="BS66" s="262">
        <v>0</v>
      </c>
      <c r="BT66" s="262">
        <v>0</v>
      </c>
      <c r="BU66" s="307">
        <f t="shared" si="105"/>
        <v>0</v>
      </c>
      <c r="BV66" s="272">
        <v>0</v>
      </c>
      <c r="BW66" s="262">
        <v>0</v>
      </c>
      <c r="BX66" s="262">
        <v>-2.52469</v>
      </c>
      <c r="BY66" s="262">
        <v>0</v>
      </c>
      <c r="BZ66" s="296">
        <f t="shared" si="64"/>
        <v>11.642096999999996</v>
      </c>
      <c r="CA66" s="262">
        <v>0</v>
      </c>
      <c r="CB66" s="262">
        <v>0</v>
      </c>
      <c r="CC66" s="262">
        <v>0</v>
      </c>
      <c r="CD66" s="307">
        <f t="shared" si="106"/>
        <v>0</v>
      </c>
      <c r="CE66" s="261">
        <f t="shared" si="107"/>
        <v>34.999</v>
      </c>
      <c r="CF66" s="263">
        <f t="shared" si="108"/>
        <v>23.356903000000003</v>
      </c>
      <c r="CG66" s="262">
        <f t="shared" si="109"/>
        <v>11.642097</v>
      </c>
      <c r="CH66" s="181">
        <f t="shared" si="69"/>
        <v>0</v>
      </c>
      <c r="CI66" s="272">
        <v>0</v>
      </c>
      <c r="CJ66" s="262">
        <v>0</v>
      </c>
      <c r="CK66" s="262">
        <v>-4.029564</v>
      </c>
      <c r="CL66" s="262">
        <v>0</v>
      </c>
      <c r="CM66" s="296">
        <f t="shared" si="83"/>
        <v>7.612533</v>
      </c>
      <c r="CN66" s="262">
        <v>0</v>
      </c>
      <c r="CO66" s="262">
        <v>0</v>
      </c>
      <c r="CP66" s="262">
        <v>0</v>
      </c>
      <c r="CQ66" s="307">
        <f t="shared" si="110"/>
        <v>0</v>
      </c>
      <c r="CR66" s="272">
        <v>0</v>
      </c>
      <c r="CS66" s="262">
        <v>0</v>
      </c>
      <c r="CT66" s="262">
        <v>-5.605262</v>
      </c>
      <c r="CU66" s="262">
        <v>0</v>
      </c>
      <c r="CV66" s="296">
        <f t="shared" si="78"/>
        <v>2.0072710000000002</v>
      </c>
      <c r="CW66" s="262">
        <v>0</v>
      </c>
      <c r="CX66" s="262">
        <v>0</v>
      </c>
      <c r="CY66" s="262">
        <v>0</v>
      </c>
      <c r="CZ66" s="307">
        <f t="shared" si="102"/>
        <v>0</v>
      </c>
      <c r="DA66" s="272">
        <v>0</v>
      </c>
      <c r="DB66" s="262">
        <v>50</v>
      </c>
      <c r="DC66" s="262">
        <v>-7.430713</v>
      </c>
      <c r="DD66" s="262">
        <v>0</v>
      </c>
      <c r="DE66" s="296">
        <f t="shared" si="80"/>
        <v>44.576558000000006</v>
      </c>
      <c r="DF66" s="262">
        <v>0</v>
      </c>
      <c r="DG66" s="262">
        <v>0</v>
      </c>
      <c r="DH66" s="262">
        <v>0</v>
      </c>
      <c r="DI66" s="307">
        <f t="shared" si="103"/>
        <v>0</v>
      </c>
      <c r="DJ66" s="272">
        <f t="shared" si="71"/>
        <v>84.999</v>
      </c>
      <c r="DK66" s="262">
        <f t="shared" si="72"/>
        <v>40.422442000000004</v>
      </c>
      <c r="DL66" s="262">
        <f t="shared" si="111"/>
        <v>44.57655799999999</v>
      </c>
      <c r="DM66" s="181">
        <f t="shared" si="74"/>
        <v>0</v>
      </c>
      <c r="DN66" s="84"/>
      <c r="DO66" s="38"/>
      <c r="DP66" s="38"/>
      <c r="DQ66" s="38"/>
      <c r="DR66" s="38"/>
      <c r="DS66" s="38"/>
      <c r="DT66" s="38"/>
    </row>
    <row r="67" spans="2:124" s="33" customFormat="1" ht="12.75">
      <c r="B67" s="167" t="s">
        <v>30</v>
      </c>
      <c r="C67" s="168" t="s">
        <v>97</v>
      </c>
      <c r="D67" s="169">
        <v>0</v>
      </c>
      <c r="E67" s="170">
        <v>0</v>
      </c>
      <c r="F67" s="170">
        <v>0</v>
      </c>
      <c r="G67" s="170">
        <v>0</v>
      </c>
      <c r="H67" s="171">
        <f t="shared" si="9"/>
        <v>0</v>
      </c>
      <c r="I67" s="169">
        <v>0</v>
      </c>
      <c r="J67" s="170">
        <v>800</v>
      </c>
      <c r="K67" s="170">
        <v>0</v>
      </c>
      <c r="L67" s="170">
        <v>0</v>
      </c>
      <c r="M67" s="170">
        <v>0</v>
      </c>
      <c r="N67" s="170">
        <v>0</v>
      </c>
      <c r="O67" s="171">
        <f t="shared" si="10"/>
        <v>800</v>
      </c>
      <c r="P67" s="172">
        <f t="shared" si="82"/>
        <v>800</v>
      </c>
      <c r="Q67" s="173">
        <f t="shared" si="77"/>
        <v>0</v>
      </c>
      <c r="R67" s="174">
        <f t="shared" si="50"/>
        <v>800</v>
      </c>
      <c r="S67" s="179">
        <v>0</v>
      </c>
      <c r="T67" s="170">
        <v>0</v>
      </c>
      <c r="U67" s="170">
        <v>0</v>
      </c>
      <c r="V67" s="175">
        <v>0</v>
      </c>
      <c r="W67" s="178">
        <f t="shared" si="51"/>
        <v>800</v>
      </c>
      <c r="X67" s="179">
        <v>0</v>
      </c>
      <c r="Y67" s="175">
        <v>-200</v>
      </c>
      <c r="Z67" s="175">
        <v>0</v>
      </c>
      <c r="AA67" s="175">
        <v>0</v>
      </c>
      <c r="AB67" s="178">
        <f t="shared" si="104"/>
        <v>600</v>
      </c>
      <c r="AC67" s="179">
        <v>0</v>
      </c>
      <c r="AD67" s="170">
        <v>0</v>
      </c>
      <c r="AE67" s="170">
        <v>0</v>
      </c>
      <c r="AF67" s="175">
        <v>0</v>
      </c>
      <c r="AG67" s="177">
        <f t="shared" si="53"/>
        <v>600</v>
      </c>
      <c r="AH67" s="179">
        <v>0</v>
      </c>
      <c r="AI67" s="175">
        <v>0</v>
      </c>
      <c r="AJ67" s="170">
        <v>0</v>
      </c>
      <c r="AK67" s="175">
        <v>0</v>
      </c>
      <c r="AL67" s="177">
        <f t="shared" si="75"/>
        <v>600</v>
      </c>
      <c r="AM67" s="175">
        <v>0</v>
      </c>
      <c r="AN67" s="175">
        <v>0</v>
      </c>
      <c r="AO67" s="175">
        <v>0</v>
      </c>
      <c r="AP67" s="178">
        <f t="shared" si="76"/>
        <v>0</v>
      </c>
      <c r="AQ67" s="179">
        <f t="shared" si="54"/>
        <v>600</v>
      </c>
      <c r="AR67" s="175">
        <f t="shared" si="55"/>
        <v>0</v>
      </c>
      <c r="AS67" s="170">
        <f t="shared" si="56"/>
        <v>600</v>
      </c>
      <c r="AT67" s="180">
        <f t="shared" si="57"/>
        <v>0</v>
      </c>
      <c r="AU67" s="179">
        <v>0</v>
      </c>
      <c r="AV67" s="175">
        <v>0</v>
      </c>
      <c r="AW67" s="170">
        <v>-22.092</v>
      </c>
      <c r="AX67" s="175">
        <v>0</v>
      </c>
      <c r="AY67" s="176">
        <f t="shared" si="58"/>
        <v>577.908</v>
      </c>
      <c r="AZ67" s="175">
        <v>0</v>
      </c>
      <c r="BA67" s="175">
        <v>0</v>
      </c>
      <c r="BB67" s="175">
        <v>0</v>
      </c>
      <c r="BC67" s="178">
        <f t="shared" si="59"/>
        <v>0</v>
      </c>
      <c r="BD67" s="261">
        <v>0</v>
      </c>
      <c r="BE67" s="262">
        <v>0</v>
      </c>
      <c r="BF67" s="262">
        <v>-2.109</v>
      </c>
      <c r="BG67" s="262">
        <v>0</v>
      </c>
      <c r="BH67" s="296">
        <f t="shared" si="60"/>
        <v>575.799</v>
      </c>
      <c r="BI67" s="262">
        <v>0</v>
      </c>
      <c r="BJ67" s="262">
        <v>0</v>
      </c>
      <c r="BK67" s="262">
        <v>0</v>
      </c>
      <c r="BL67" s="307">
        <f t="shared" si="61"/>
        <v>0</v>
      </c>
      <c r="BM67" s="261">
        <v>0</v>
      </c>
      <c r="BN67" s="262">
        <v>0</v>
      </c>
      <c r="BO67" s="262">
        <v>-1.797446</v>
      </c>
      <c r="BP67" s="262">
        <v>0</v>
      </c>
      <c r="BQ67" s="296">
        <f t="shared" si="62"/>
        <v>574.0015539999999</v>
      </c>
      <c r="BR67" s="262">
        <v>0</v>
      </c>
      <c r="BS67" s="262">
        <v>0</v>
      </c>
      <c r="BT67" s="262">
        <v>0</v>
      </c>
      <c r="BU67" s="307">
        <f t="shared" si="105"/>
        <v>0</v>
      </c>
      <c r="BV67" s="272">
        <v>0</v>
      </c>
      <c r="BW67" s="262">
        <v>0</v>
      </c>
      <c r="BX67" s="262">
        <v>-1.793</v>
      </c>
      <c r="BY67" s="262">
        <v>0</v>
      </c>
      <c r="BZ67" s="296">
        <f t="shared" si="64"/>
        <v>572.2085539999999</v>
      </c>
      <c r="CA67" s="262">
        <v>0</v>
      </c>
      <c r="CB67" s="262">
        <v>0</v>
      </c>
      <c r="CC67" s="262">
        <v>0</v>
      </c>
      <c r="CD67" s="307">
        <f t="shared" si="106"/>
        <v>0</v>
      </c>
      <c r="CE67" s="261">
        <f t="shared" si="107"/>
        <v>600</v>
      </c>
      <c r="CF67" s="263">
        <f t="shared" si="108"/>
        <v>27.791446</v>
      </c>
      <c r="CG67" s="262">
        <f t="shared" si="109"/>
        <v>572.208554</v>
      </c>
      <c r="CH67" s="181">
        <f t="shared" si="69"/>
        <v>0</v>
      </c>
      <c r="CI67" s="272">
        <v>0</v>
      </c>
      <c r="CJ67" s="262">
        <v>0</v>
      </c>
      <c r="CK67" s="262">
        <v>-0.00507</v>
      </c>
      <c r="CL67" s="262">
        <v>0</v>
      </c>
      <c r="CM67" s="296">
        <f t="shared" si="83"/>
        <v>572.203484</v>
      </c>
      <c r="CN67" s="262">
        <v>0</v>
      </c>
      <c r="CO67" s="262">
        <v>0</v>
      </c>
      <c r="CP67" s="262">
        <v>0</v>
      </c>
      <c r="CQ67" s="307">
        <f t="shared" si="110"/>
        <v>0</v>
      </c>
      <c r="CR67" s="272">
        <v>0</v>
      </c>
      <c r="CS67" s="262">
        <v>0</v>
      </c>
      <c r="CT67" s="262">
        <v>-1.755376</v>
      </c>
      <c r="CU67" s="262">
        <v>0</v>
      </c>
      <c r="CV67" s="296">
        <f t="shared" si="78"/>
        <v>570.448108</v>
      </c>
      <c r="CW67" s="262">
        <v>0</v>
      </c>
      <c r="CX67" s="262">
        <v>0</v>
      </c>
      <c r="CY67" s="262">
        <v>0</v>
      </c>
      <c r="CZ67" s="307">
        <f t="shared" si="102"/>
        <v>0</v>
      </c>
      <c r="DA67" s="272">
        <v>0</v>
      </c>
      <c r="DB67" s="262">
        <v>0</v>
      </c>
      <c r="DC67" s="262">
        <v>0</v>
      </c>
      <c r="DD67" s="262">
        <v>0</v>
      </c>
      <c r="DE67" s="296">
        <f t="shared" si="80"/>
        <v>570.448108</v>
      </c>
      <c r="DF67" s="262">
        <v>0</v>
      </c>
      <c r="DG67" s="262">
        <v>0</v>
      </c>
      <c r="DH67" s="262">
        <v>0</v>
      </c>
      <c r="DI67" s="307">
        <f t="shared" si="103"/>
        <v>0</v>
      </c>
      <c r="DJ67" s="272">
        <f t="shared" si="71"/>
        <v>600</v>
      </c>
      <c r="DK67" s="262">
        <f t="shared" si="72"/>
        <v>29.551892000000002</v>
      </c>
      <c r="DL67" s="262">
        <f t="shared" si="111"/>
        <v>570.448108</v>
      </c>
      <c r="DM67" s="181">
        <f t="shared" si="74"/>
        <v>0</v>
      </c>
      <c r="DN67" s="84"/>
      <c r="DO67" s="38"/>
      <c r="DP67" s="38"/>
      <c r="DQ67" s="38"/>
      <c r="DR67" s="38"/>
      <c r="DS67" s="38"/>
      <c r="DT67" s="38"/>
    </row>
    <row r="68" spans="2:124" s="33" customFormat="1" ht="12.75">
      <c r="B68" s="182" t="s">
        <v>30</v>
      </c>
      <c r="C68" s="183" t="s">
        <v>77</v>
      </c>
      <c r="D68" s="169">
        <v>0</v>
      </c>
      <c r="E68" s="170">
        <v>0</v>
      </c>
      <c r="F68" s="170">
        <v>0</v>
      </c>
      <c r="G68" s="170">
        <v>0</v>
      </c>
      <c r="H68" s="171">
        <f>SUM(E68:G68)</f>
        <v>0</v>
      </c>
      <c r="I68" s="169">
        <v>0</v>
      </c>
      <c r="J68" s="170">
        <v>0</v>
      </c>
      <c r="K68" s="170">
        <v>0</v>
      </c>
      <c r="L68" s="170">
        <v>0</v>
      </c>
      <c r="M68" s="170">
        <v>0</v>
      </c>
      <c r="N68" s="170">
        <v>0</v>
      </c>
      <c r="O68" s="171">
        <f>SUM(H68,J68:N68)</f>
        <v>0</v>
      </c>
      <c r="P68" s="172">
        <f t="shared" si="82"/>
        <v>0</v>
      </c>
      <c r="Q68" s="173">
        <f t="shared" si="77"/>
        <v>0</v>
      </c>
      <c r="R68" s="174">
        <f t="shared" si="50"/>
        <v>0</v>
      </c>
      <c r="S68" s="179">
        <v>0</v>
      </c>
      <c r="T68" s="170">
        <v>0</v>
      </c>
      <c r="U68" s="170">
        <v>0</v>
      </c>
      <c r="V68" s="175">
        <v>0</v>
      </c>
      <c r="W68" s="178">
        <f>SUM(R68,T68:V68)</f>
        <v>0</v>
      </c>
      <c r="X68" s="179">
        <v>0</v>
      </c>
      <c r="Y68" s="175">
        <v>0</v>
      </c>
      <c r="Z68" s="175">
        <v>0</v>
      </c>
      <c r="AA68" s="175">
        <v>0</v>
      </c>
      <c r="AB68" s="178">
        <f t="shared" si="104"/>
        <v>0</v>
      </c>
      <c r="AC68" s="179">
        <v>0</v>
      </c>
      <c r="AD68" s="175">
        <v>84.26</v>
      </c>
      <c r="AE68" s="175">
        <v>0</v>
      </c>
      <c r="AF68" s="175">
        <v>0</v>
      </c>
      <c r="AG68" s="177">
        <f>SUM(AB68,AD68:AF68)</f>
        <v>84.26</v>
      </c>
      <c r="AH68" s="179">
        <v>0</v>
      </c>
      <c r="AI68" s="175">
        <v>0</v>
      </c>
      <c r="AJ68" s="170">
        <v>0</v>
      </c>
      <c r="AK68" s="175">
        <v>0</v>
      </c>
      <c r="AL68" s="177">
        <f>SUM(AG68,AI68:AK68)</f>
        <v>84.26</v>
      </c>
      <c r="AM68" s="175">
        <v>0</v>
      </c>
      <c r="AN68" s="175">
        <v>0</v>
      </c>
      <c r="AO68" s="175">
        <v>0</v>
      </c>
      <c r="AP68" s="178">
        <f>SUM(AM68:AO68)</f>
        <v>0</v>
      </c>
      <c r="AQ68" s="179">
        <f>SUM(P68,S68,T68,V68,X68,Y68,AA68,AC68,AD68,AF68,AH68,AI68,AK68,AM68,AO68)</f>
        <v>84.26</v>
      </c>
      <c r="AR68" s="175">
        <f>SUM(Q68)+(S68+X68+AC68+AH68)+SUM((U68+Z68+AE68+AJ68+AN68)*-1)</f>
        <v>0</v>
      </c>
      <c r="AS68" s="170">
        <f>SUM(AQ68-AR68)</f>
        <v>84.26</v>
      </c>
      <c r="AT68" s="180">
        <f>SUM(AP68)</f>
        <v>0</v>
      </c>
      <c r="AU68" s="179">
        <v>0</v>
      </c>
      <c r="AV68" s="175">
        <v>0</v>
      </c>
      <c r="AW68" s="170">
        <v>0</v>
      </c>
      <c r="AX68" s="175">
        <v>0</v>
      </c>
      <c r="AY68" s="176">
        <f t="shared" si="58"/>
        <v>84.26</v>
      </c>
      <c r="AZ68" s="175">
        <v>0</v>
      </c>
      <c r="BA68" s="175">
        <v>0</v>
      </c>
      <c r="BB68" s="175">
        <v>0</v>
      </c>
      <c r="BC68" s="178">
        <f t="shared" si="59"/>
        <v>0</v>
      </c>
      <c r="BD68" s="261">
        <v>0</v>
      </c>
      <c r="BE68" s="262">
        <v>18.99</v>
      </c>
      <c r="BF68" s="262">
        <v>0</v>
      </c>
      <c r="BG68" s="262">
        <v>0</v>
      </c>
      <c r="BH68" s="296">
        <f t="shared" si="60"/>
        <v>103.25</v>
      </c>
      <c r="BI68" s="262">
        <v>0</v>
      </c>
      <c r="BJ68" s="262">
        <v>0</v>
      </c>
      <c r="BK68" s="262">
        <v>0</v>
      </c>
      <c r="BL68" s="307">
        <f t="shared" si="61"/>
        <v>0</v>
      </c>
      <c r="BM68" s="261">
        <v>0</v>
      </c>
      <c r="BN68" s="262">
        <v>0</v>
      </c>
      <c r="BO68" s="262">
        <v>0</v>
      </c>
      <c r="BP68" s="262">
        <v>0</v>
      </c>
      <c r="BQ68" s="296">
        <f t="shared" si="62"/>
        <v>103.25</v>
      </c>
      <c r="BR68" s="262">
        <v>0</v>
      </c>
      <c r="BS68" s="262">
        <v>0</v>
      </c>
      <c r="BT68" s="262">
        <v>0</v>
      </c>
      <c r="BU68" s="307">
        <f t="shared" si="105"/>
        <v>0</v>
      </c>
      <c r="BV68" s="272">
        <v>0</v>
      </c>
      <c r="BW68" s="262">
        <v>0</v>
      </c>
      <c r="BX68" s="262">
        <v>0</v>
      </c>
      <c r="BY68" s="262">
        <v>0</v>
      </c>
      <c r="BZ68" s="296">
        <f t="shared" si="64"/>
        <v>103.25</v>
      </c>
      <c r="CA68" s="262">
        <v>0</v>
      </c>
      <c r="CB68" s="262">
        <v>0</v>
      </c>
      <c r="CC68" s="262">
        <v>0</v>
      </c>
      <c r="CD68" s="307">
        <f t="shared" si="106"/>
        <v>0</v>
      </c>
      <c r="CE68" s="261">
        <f t="shared" si="107"/>
        <v>103.25</v>
      </c>
      <c r="CF68" s="263">
        <f t="shared" si="108"/>
        <v>0</v>
      </c>
      <c r="CG68" s="262">
        <f t="shared" si="109"/>
        <v>103.25</v>
      </c>
      <c r="CH68" s="181">
        <f t="shared" si="69"/>
        <v>0</v>
      </c>
      <c r="CI68" s="272">
        <v>0</v>
      </c>
      <c r="CJ68" s="262">
        <v>0</v>
      </c>
      <c r="CK68" s="262">
        <v>0</v>
      </c>
      <c r="CL68" s="262">
        <v>0</v>
      </c>
      <c r="CM68" s="296">
        <f t="shared" si="83"/>
        <v>103.25</v>
      </c>
      <c r="CN68" s="262">
        <v>0</v>
      </c>
      <c r="CO68" s="262">
        <v>0</v>
      </c>
      <c r="CP68" s="262">
        <v>0</v>
      </c>
      <c r="CQ68" s="307">
        <f t="shared" si="110"/>
        <v>0</v>
      </c>
      <c r="CR68" s="272">
        <v>0</v>
      </c>
      <c r="CS68" s="262">
        <v>0</v>
      </c>
      <c r="CT68" s="262">
        <v>0</v>
      </c>
      <c r="CU68" s="262">
        <v>0</v>
      </c>
      <c r="CV68" s="296">
        <f t="shared" si="78"/>
        <v>103.25</v>
      </c>
      <c r="CW68" s="262">
        <v>0</v>
      </c>
      <c r="CX68" s="262">
        <v>0</v>
      </c>
      <c r="CY68" s="262">
        <v>0</v>
      </c>
      <c r="CZ68" s="307">
        <f t="shared" si="102"/>
        <v>0</v>
      </c>
      <c r="DA68" s="272">
        <v>0</v>
      </c>
      <c r="DB68" s="262">
        <f>82.17-103.25</f>
        <v>-21.08</v>
      </c>
      <c r="DC68" s="262">
        <v>0</v>
      </c>
      <c r="DD68" s="262">
        <v>0</v>
      </c>
      <c r="DE68" s="296">
        <f t="shared" si="80"/>
        <v>82.17</v>
      </c>
      <c r="DF68" s="262">
        <v>0</v>
      </c>
      <c r="DG68" s="262">
        <v>0</v>
      </c>
      <c r="DH68" s="262">
        <v>0</v>
      </c>
      <c r="DI68" s="307">
        <f t="shared" si="103"/>
        <v>0</v>
      </c>
      <c r="DJ68" s="272">
        <f t="shared" si="71"/>
        <v>82.17</v>
      </c>
      <c r="DK68" s="262">
        <f t="shared" si="72"/>
        <v>0</v>
      </c>
      <c r="DL68" s="262">
        <f t="shared" si="111"/>
        <v>82.17</v>
      </c>
      <c r="DM68" s="181">
        <f t="shared" si="74"/>
        <v>0</v>
      </c>
      <c r="DN68" s="84"/>
      <c r="DO68" s="38"/>
      <c r="DP68" s="38"/>
      <c r="DQ68" s="38"/>
      <c r="DR68" s="38"/>
      <c r="DS68" s="38"/>
      <c r="DT68" s="38"/>
    </row>
    <row r="69" spans="2:124" s="33" customFormat="1" ht="12.75">
      <c r="B69" s="167" t="s">
        <v>30</v>
      </c>
      <c r="C69" s="168" t="s">
        <v>95</v>
      </c>
      <c r="D69" s="169">
        <v>0</v>
      </c>
      <c r="E69" s="170">
        <v>0</v>
      </c>
      <c r="F69" s="170">
        <v>0</v>
      </c>
      <c r="G69" s="170">
        <v>0</v>
      </c>
      <c r="H69" s="171">
        <f>SUM(E69:G69)</f>
        <v>0</v>
      </c>
      <c r="I69" s="169">
        <v>0</v>
      </c>
      <c r="J69" s="170">
        <v>0</v>
      </c>
      <c r="K69" s="170">
        <v>0</v>
      </c>
      <c r="L69" s="170">
        <v>0</v>
      </c>
      <c r="M69" s="170">
        <v>0</v>
      </c>
      <c r="N69" s="170">
        <v>0</v>
      </c>
      <c r="O69" s="171">
        <f>SUM(H69,J69:N69)</f>
        <v>0</v>
      </c>
      <c r="P69" s="172">
        <f t="shared" si="82"/>
        <v>0</v>
      </c>
      <c r="Q69" s="173">
        <f t="shared" si="77"/>
        <v>0</v>
      </c>
      <c r="R69" s="174">
        <f t="shared" si="50"/>
        <v>0</v>
      </c>
      <c r="S69" s="179">
        <v>0</v>
      </c>
      <c r="T69" s="170">
        <v>180</v>
      </c>
      <c r="U69" s="170">
        <v>0</v>
      </c>
      <c r="V69" s="175">
        <v>0</v>
      </c>
      <c r="W69" s="178">
        <f>SUM(R69,T69:V69)</f>
        <v>180</v>
      </c>
      <c r="X69" s="179">
        <v>0</v>
      </c>
      <c r="Y69" s="175">
        <v>200</v>
      </c>
      <c r="Z69" s="175">
        <f>-51.17+34.349</f>
        <v>-16.821000000000005</v>
      </c>
      <c r="AA69" s="175">
        <v>0</v>
      </c>
      <c r="AB69" s="178">
        <f t="shared" si="104"/>
        <v>363.179</v>
      </c>
      <c r="AC69" s="179">
        <v>0</v>
      </c>
      <c r="AD69" s="175">
        <v>280</v>
      </c>
      <c r="AE69" s="175">
        <f>-156.91+22.403</f>
        <v>-134.507</v>
      </c>
      <c r="AF69" s="175">
        <v>0</v>
      </c>
      <c r="AG69" s="177">
        <f>SUM(AB69,AD69:AF69)</f>
        <v>508.67199999999997</v>
      </c>
      <c r="AH69" s="179">
        <v>0</v>
      </c>
      <c r="AI69" s="175">
        <v>0</v>
      </c>
      <c r="AJ69" s="170">
        <f>-122.139+3.979</f>
        <v>-118.16</v>
      </c>
      <c r="AK69" s="175">
        <v>-60.731</v>
      </c>
      <c r="AL69" s="177">
        <f>SUM(AG69,AI69:AK69)</f>
        <v>329.78099999999995</v>
      </c>
      <c r="AM69" s="175">
        <v>0</v>
      </c>
      <c r="AN69" s="175">
        <v>0</v>
      </c>
      <c r="AO69" s="175">
        <v>0</v>
      </c>
      <c r="AP69" s="178">
        <f>SUM(AM69:AO69)</f>
        <v>0</v>
      </c>
      <c r="AQ69" s="179">
        <f>SUM(P69,S69,T69,V69,X69,Y69,AA69,AC69,AD69,AF69,AH69,AI69,AK69,AM69,AO69)</f>
        <v>599.269</v>
      </c>
      <c r="AR69" s="175">
        <f>SUM(Q69)+(S69+X69+AC69+AH69)+SUM((U69+Z69+AE69+AJ69+AN69)*-1)</f>
        <v>269.488</v>
      </c>
      <c r="AS69" s="170">
        <f>SUM(AQ69-AR69)</f>
        <v>329.781</v>
      </c>
      <c r="AT69" s="180">
        <f>SUM(AP69)</f>
        <v>0</v>
      </c>
      <c r="AU69" s="179">
        <v>0</v>
      </c>
      <c r="AV69" s="175">
        <v>0</v>
      </c>
      <c r="AW69" s="262">
        <v>-131.369</v>
      </c>
      <c r="AX69" s="175">
        <v>0.02</v>
      </c>
      <c r="AY69" s="176">
        <f t="shared" si="58"/>
        <v>198.43200000000002</v>
      </c>
      <c r="AZ69" s="175">
        <v>0</v>
      </c>
      <c r="BA69" s="175">
        <v>0</v>
      </c>
      <c r="BB69" s="175">
        <v>0</v>
      </c>
      <c r="BC69" s="178">
        <f t="shared" si="59"/>
        <v>0</v>
      </c>
      <c r="BD69" s="261">
        <v>0</v>
      </c>
      <c r="BE69" s="262">
        <f>350+130</f>
        <v>480</v>
      </c>
      <c r="BF69" s="262">
        <v>-126.113</v>
      </c>
      <c r="BG69" s="262">
        <v>-0.484</v>
      </c>
      <c r="BH69" s="296">
        <f t="shared" si="60"/>
        <v>551.8349999999999</v>
      </c>
      <c r="BI69" s="262">
        <v>0</v>
      </c>
      <c r="BJ69" s="262">
        <v>0</v>
      </c>
      <c r="BK69" s="262">
        <v>0</v>
      </c>
      <c r="BL69" s="307">
        <f t="shared" si="61"/>
        <v>0</v>
      </c>
      <c r="BM69" s="261">
        <v>0</v>
      </c>
      <c r="BN69" s="262">
        <v>0</v>
      </c>
      <c r="BO69" s="262">
        <v>-96.486362</v>
      </c>
      <c r="BP69" s="262">
        <v>0</v>
      </c>
      <c r="BQ69" s="296">
        <f t="shared" si="62"/>
        <v>455.34863799999994</v>
      </c>
      <c r="BR69" s="262">
        <v>0</v>
      </c>
      <c r="BS69" s="262">
        <v>0</v>
      </c>
      <c r="BT69" s="262">
        <v>0</v>
      </c>
      <c r="BU69" s="307">
        <f t="shared" si="105"/>
        <v>0</v>
      </c>
      <c r="BV69" s="272">
        <v>0</v>
      </c>
      <c r="BW69" s="262">
        <v>0</v>
      </c>
      <c r="BX69" s="262">
        <v>-119.848492</v>
      </c>
      <c r="BY69" s="262">
        <f>351+24</f>
        <v>375</v>
      </c>
      <c r="BZ69" s="296">
        <f t="shared" si="64"/>
        <v>710.500146</v>
      </c>
      <c r="CA69" s="262">
        <v>0</v>
      </c>
      <c r="CB69" s="262">
        <v>0</v>
      </c>
      <c r="CC69" s="262">
        <v>0</v>
      </c>
      <c r="CD69" s="307">
        <f t="shared" si="106"/>
        <v>0</v>
      </c>
      <c r="CE69" s="261">
        <f t="shared" si="107"/>
        <v>1453.805</v>
      </c>
      <c r="CF69" s="263">
        <f t="shared" si="108"/>
        <v>743.304854</v>
      </c>
      <c r="CG69" s="262">
        <f t="shared" si="109"/>
        <v>710.5001460000001</v>
      </c>
      <c r="CH69" s="181">
        <f t="shared" si="69"/>
        <v>0</v>
      </c>
      <c r="CI69" s="272">
        <v>0</v>
      </c>
      <c r="CJ69" s="262">
        <v>0</v>
      </c>
      <c r="CK69" s="262">
        <v>-91.602329</v>
      </c>
      <c r="CL69" s="262">
        <v>0</v>
      </c>
      <c r="CM69" s="296">
        <f t="shared" si="83"/>
        <v>618.897817</v>
      </c>
      <c r="CN69" s="262">
        <v>0</v>
      </c>
      <c r="CO69" s="262">
        <v>0</v>
      </c>
      <c r="CP69" s="262">
        <v>0</v>
      </c>
      <c r="CQ69" s="307">
        <f t="shared" si="110"/>
        <v>0</v>
      </c>
      <c r="CR69" s="272">
        <v>0</v>
      </c>
      <c r="CS69" s="262">
        <v>0</v>
      </c>
      <c r="CT69" s="262">
        <v>-95.604048</v>
      </c>
      <c r="CU69" s="262">
        <v>0</v>
      </c>
      <c r="CV69" s="296">
        <f t="shared" si="78"/>
        <v>523.293769</v>
      </c>
      <c r="CW69" s="262">
        <v>0</v>
      </c>
      <c r="CX69" s="262">
        <v>0</v>
      </c>
      <c r="CY69" s="262">
        <v>0</v>
      </c>
      <c r="CZ69" s="307">
        <f t="shared" si="102"/>
        <v>0</v>
      </c>
      <c r="DA69" s="272">
        <v>0</v>
      </c>
      <c r="DB69" s="262">
        <v>350</v>
      </c>
      <c r="DC69" s="262">
        <v>-117.9032</v>
      </c>
      <c r="DD69" s="262">
        <v>0</v>
      </c>
      <c r="DE69" s="296">
        <f t="shared" si="80"/>
        <v>755.390569</v>
      </c>
      <c r="DF69" s="262">
        <v>0</v>
      </c>
      <c r="DG69" s="262">
        <v>0</v>
      </c>
      <c r="DH69" s="262">
        <v>0</v>
      </c>
      <c r="DI69" s="307">
        <f t="shared" si="103"/>
        <v>0</v>
      </c>
      <c r="DJ69" s="272">
        <f t="shared" si="71"/>
        <v>1803.805</v>
      </c>
      <c r="DK69" s="262">
        <f t="shared" si="72"/>
        <v>1048.4144310000001</v>
      </c>
      <c r="DL69" s="262">
        <f t="shared" si="111"/>
        <v>755.3905689999999</v>
      </c>
      <c r="DM69" s="181">
        <f t="shared" si="74"/>
        <v>0</v>
      </c>
      <c r="DN69" s="84"/>
      <c r="DO69" s="38"/>
      <c r="DP69" s="38"/>
      <c r="DQ69" s="38"/>
      <c r="DR69" s="38"/>
      <c r="DS69" s="38"/>
      <c r="DT69" s="38"/>
    </row>
    <row r="70" spans="2:124" s="33" customFormat="1" ht="12.75">
      <c r="B70" s="182" t="s">
        <v>30</v>
      </c>
      <c r="C70" s="183" t="s">
        <v>94</v>
      </c>
      <c r="D70" s="169">
        <v>0</v>
      </c>
      <c r="E70" s="170">
        <v>0</v>
      </c>
      <c r="F70" s="170">
        <v>0</v>
      </c>
      <c r="G70" s="170">
        <v>0</v>
      </c>
      <c r="H70" s="171">
        <f>SUM(E70:G70)</f>
        <v>0</v>
      </c>
      <c r="I70" s="169">
        <v>0</v>
      </c>
      <c r="J70" s="170">
        <v>0</v>
      </c>
      <c r="K70" s="170">
        <v>0</v>
      </c>
      <c r="L70" s="170">
        <v>0</v>
      </c>
      <c r="M70" s="170">
        <v>0</v>
      </c>
      <c r="N70" s="170">
        <v>0</v>
      </c>
      <c r="O70" s="171">
        <f>SUM(H70,J70:N70)</f>
        <v>0</v>
      </c>
      <c r="P70" s="172">
        <f t="shared" si="82"/>
        <v>0</v>
      </c>
      <c r="Q70" s="173">
        <f t="shared" si="77"/>
        <v>0</v>
      </c>
      <c r="R70" s="174">
        <f t="shared" si="50"/>
        <v>0</v>
      </c>
      <c r="S70" s="179">
        <v>0</v>
      </c>
      <c r="T70" s="170">
        <v>0</v>
      </c>
      <c r="U70" s="170">
        <v>0</v>
      </c>
      <c r="V70" s="175">
        <v>0</v>
      </c>
      <c r="W70" s="178">
        <f>SUM(R70,T70:V70)</f>
        <v>0</v>
      </c>
      <c r="X70" s="179">
        <v>0</v>
      </c>
      <c r="Y70" s="175">
        <v>0</v>
      </c>
      <c r="Z70" s="175">
        <v>-34.349</v>
      </c>
      <c r="AA70" s="175">
        <v>0</v>
      </c>
      <c r="AB70" s="178">
        <f t="shared" si="104"/>
        <v>-34.349</v>
      </c>
      <c r="AC70" s="179">
        <v>0</v>
      </c>
      <c r="AD70" s="175">
        <v>0</v>
      </c>
      <c r="AE70" s="175">
        <v>-22.403</v>
      </c>
      <c r="AF70" s="175">
        <v>0</v>
      </c>
      <c r="AG70" s="177">
        <f>SUM(AB70,AD70:AF70)</f>
        <v>-56.751999999999995</v>
      </c>
      <c r="AH70" s="179">
        <v>0</v>
      </c>
      <c r="AI70" s="175">
        <v>0</v>
      </c>
      <c r="AJ70" s="170">
        <v>-3.979</v>
      </c>
      <c r="AK70" s="175">
        <v>60.731</v>
      </c>
      <c r="AL70" s="177">
        <f>SUM(AG70,AI70:AK70)</f>
        <v>0</v>
      </c>
      <c r="AM70" s="175">
        <v>0</v>
      </c>
      <c r="AN70" s="175">
        <v>0</v>
      </c>
      <c r="AO70" s="175">
        <v>0</v>
      </c>
      <c r="AP70" s="178">
        <f>SUM(AM70:AO70)</f>
        <v>0</v>
      </c>
      <c r="AQ70" s="179">
        <f>SUM(P70,S70,T70,V70,X70,Y70,AA70,AC70,AD70,AF70,AH70,AI70,AK70,AM70,AO70)</f>
        <v>60.731</v>
      </c>
      <c r="AR70" s="175">
        <f>SUM(Q70)+(S70+X70+AC70+AH70)+SUM((U70+Z70+AE70+AJ70+AN70)*-1)</f>
        <v>60.730999999999995</v>
      </c>
      <c r="AS70" s="170">
        <f>SUM(AQ70-AR70)</f>
        <v>7.105427357601002E-15</v>
      </c>
      <c r="AT70" s="180">
        <f>SUM(AP70)</f>
        <v>0</v>
      </c>
      <c r="AU70" s="179">
        <v>0</v>
      </c>
      <c r="AV70" s="175">
        <v>0.58</v>
      </c>
      <c r="AW70" s="262">
        <v>-0.58</v>
      </c>
      <c r="AX70" s="175">
        <v>0</v>
      </c>
      <c r="AY70" s="176">
        <f t="shared" si="58"/>
        <v>7.105427357601002E-15</v>
      </c>
      <c r="AZ70" s="175">
        <v>0</v>
      </c>
      <c r="BA70" s="175">
        <v>0</v>
      </c>
      <c r="BB70" s="175">
        <v>0</v>
      </c>
      <c r="BC70" s="178">
        <f t="shared" si="59"/>
        <v>0</v>
      </c>
      <c r="BD70" s="261">
        <v>0</v>
      </c>
      <c r="BE70" s="262">
        <v>0</v>
      </c>
      <c r="BF70" s="262">
        <v>-0.484</v>
      </c>
      <c r="BG70" s="262">
        <v>0.484</v>
      </c>
      <c r="BH70" s="296">
        <f t="shared" si="60"/>
        <v>7.105427357601002E-15</v>
      </c>
      <c r="BI70" s="262">
        <v>0</v>
      </c>
      <c r="BJ70" s="262">
        <v>0</v>
      </c>
      <c r="BK70" s="262">
        <v>0</v>
      </c>
      <c r="BL70" s="307">
        <f t="shared" si="61"/>
        <v>0</v>
      </c>
      <c r="BM70" s="261">
        <v>0</v>
      </c>
      <c r="BN70" s="262">
        <v>0</v>
      </c>
      <c r="BO70" s="262">
        <v>-0.368501</v>
      </c>
      <c r="BP70" s="262">
        <v>0</v>
      </c>
      <c r="BQ70" s="296">
        <f t="shared" si="62"/>
        <v>-0.3685009999999929</v>
      </c>
      <c r="BR70" s="262">
        <v>0</v>
      </c>
      <c r="BS70" s="262">
        <v>0</v>
      </c>
      <c r="BT70" s="262">
        <v>0</v>
      </c>
      <c r="BU70" s="307">
        <f t="shared" si="105"/>
        <v>0</v>
      </c>
      <c r="BV70" s="272">
        <v>0</v>
      </c>
      <c r="BW70" s="262">
        <v>0</v>
      </c>
      <c r="BX70" s="262">
        <v>-0.356491</v>
      </c>
      <c r="BY70" s="262">
        <v>0</v>
      </c>
      <c r="BZ70" s="296">
        <f t="shared" si="64"/>
        <v>-0.724991999999993</v>
      </c>
      <c r="CA70" s="262">
        <v>0</v>
      </c>
      <c r="CB70" s="262">
        <v>0</v>
      </c>
      <c r="CC70" s="262">
        <v>0</v>
      </c>
      <c r="CD70" s="307">
        <f t="shared" si="106"/>
        <v>0</v>
      </c>
      <c r="CE70" s="261">
        <f t="shared" si="107"/>
        <v>61.795</v>
      </c>
      <c r="CF70" s="263">
        <f t="shared" si="108"/>
        <v>62.519991999999995</v>
      </c>
      <c r="CG70" s="262">
        <f t="shared" si="109"/>
        <v>-0.7249919999999932</v>
      </c>
      <c r="CH70" s="181">
        <f t="shared" si="69"/>
        <v>0</v>
      </c>
      <c r="CI70" s="272">
        <v>0</v>
      </c>
      <c r="CJ70" s="262">
        <v>0</v>
      </c>
      <c r="CK70" s="262">
        <v>-0.338588</v>
      </c>
      <c r="CL70" s="262">
        <v>0</v>
      </c>
      <c r="CM70" s="296">
        <f t="shared" si="83"/>
        <v>-1.0635799999999933</v>
      </c>
      <c r="CN70" s="262">
        <v>0</v>
      </c>
      <c r="CO70" s="262">
        <v>0</v>
      </c>
      <c r="CP70" s="262">
        <v>0</v>
      </c>
      <c r="CQ70" s="307">
        <f t="shared" si="110"/>
        <v>0</v>
      </c>
      <c r="CR70" s="272">
        <v>0</v>
      </c>
      <c r="CS70" s="262">
        <v>0</v>
      </c>
      <c r="CT70" s="262">
        <v>-0.468077</v>
      </c>
      <c r="CU70" s="262">
        <v>0</v>
      </c>
      <c r="CV70" s="296">
        <f t="shared" si="78"/>
        <v>-1.5316569999999934</v>
      </c>
      <c r="CW70" s="262">
        <v>0</v>
      </c>
      <c r="CX70" s="262">
        <v>0</v>
      </c>
      <c r="CY70" s="262">
        <v>0</v>
      </c>
      <c r="CZ70" s="307">
        <f t="shared" si="102"/>
        <v>0</v>
      </c>
      <c r="DA70" s="272">
        <v>0</v>
      </c>
      <c r="DB70" s="262">
        <v>0</v>
      </c>
      <c r="DC70" s="262">
        <v>-0.208004</v>
      </c>
      <c r="DD70" s="262">
        <v>0</v>
      </c>
      <c r="DE70" s="296">
        <f t="shared" si="80"/>
        <v>-1.7396609999999935</v>
      </c>
      <c r="DF70" s="262">
        <v>0</v>
      </c>
      <c r="DG70" s="262">
        <v>0</v>
      </c>
      <c r="DH70" s="262">
        <v>0</v>
      </c>
      <c r="DI70" s="307">
        <f t="shared" si="103"/>
        <v>0</v>
      </c>
      <c r="DJ70" s="272">
        <f t="shared" si="71"/>
        <v>61.795</v>
      </c>
      <c r="DK70" s="262">
        <f t="shared" si="72"/>
        <v>63.534661</v>
      </c>
      <c r="DL70" s="262">
        <f t="shared" si="111"/>
        <v>-1.7396609999999981</v>
      </c>
      <c r="DM70" s="181">
        <f t="shared" si="74"/>
        <v>0</v>
      </c>
      <c r="DN70" s="84"/>
      <c r="DO70" s="38"/>
      <c r="DP70" s="38"/>
      <c r="DQ70" s="38"/>
      <c r="DR70" s="38"/>
      <c r="DS70" s="38"/>
      <c r="DT70" s="38"/>
    </row>
    <row r="71" spans="2:124" s="118" customFormat="1" ht="12.75">
      <c r="B71" s="117" t="s">
        <v>30</v>
      </c>
      <c r="C71" s="118" t="s">
        <v>96</v>
      </c>
      <c r="D71" s="119">
        <v>0</v>
      </c>
      <c r="E71" s="120">
        <v>66.5</v>
      </c>
      <c r="F71" s="120">
        <v>-8.8</v>
      </c>
      <c r="G71" s="120">
        <v>0</v>
      </c>
      <c r="H71" s="121">
        <f>SUM(E71:G71)</f>
        <v>57.7</v>
      </c>
      <c r="I71" s="119">
        <v>0</v>
      </c>
      <c r="J71" s="122">
        <v>0</v>
      </c>
      <c r="K71" s="120">
        <v>-15.5</v>
      </c>
      <c r="L71" s="120">
        <v>0</v>
      </c>
      <c r="M71" s="120">
        <v>0</v>
      </c>
      <c r="N71" s="120">
        <v>0</v>
      </c>
      <c r="O71" s="121">
        <f>SUM(H71,J71:N71)</f>
        <v>42.2</v>
      </c>
      <c r="P71" s="123">
        <f t="shared" si="82"/>
        <v>66.5</v>
      </c>
      <c r="Q71" s="124">
        <f t="shared" si="77"/>
        <v>24.3</v>
      </c>
      <c r="R71" s="125">
        <f t="shared" si="50"/>
        <v>42.2</v>
      </c>
      <c r="S71" s="126">
        <v>0</v>
      </c>
      <c r="T71" s="120">
        <v>0</v>
      </c>
      <c r="U71" s="120">
        <v>-14.951</v>
      </c>
      <c r="V71" s="122">
        <v>0</v>
      </c>
      <c r="W71" s="127">
        <f t="shared" si="51"/>
        <v>27.249000000000002</v>
      </c>
      <c r="X71" s="126">
        <v>0</v>
      </c>
      <c r="Y71" s="122">
        <v>0</v>
      </c>
      <c r="Z71" s="122">
        <v>-5.64</v>
      </c>
      <c r="AA71" s="122">
        <v>0</v>
      </c>
      <c r="AB71" s="65">
        <f t="shared" si="104"/>
        <v>21.609</v>
      </c>
      <c r="AC71" s="126">
        <v>0</v>
      </c>
      <c r="AD71" s="122">
        <v>0</v>
      </c>
      <c r="AE71" s="122">
        <v>-1.055</v>
      </c>
      <c r="AF71" s="122">
        <v>0</v>
      </c>
      <c r="AG71" s="100">
        <f t="shared" si="53"/>
        <v>20.554000000000002</v>
      </c>
      <c r="AH71" s="126">
        <v>0</v>
      </c>
      <c r="AI71" s="122">
        <v>0</v>
      </c>
      <c r="AJ71" s="120">
        <v>-0.37</v>
      </c>
      <c r="AK71" s="122">
        <v>0</v>
      </c>
      <c r="AL71" s="100">
        <f t="shared" si="75"/>
        <v>20.184</v>
      </c>
      <c r="AM71" s="64">
        <v>0</v>
      </c>
      <c r="AN71" s="64">
        <v>0</v>
      </c>
      <c r="AO71" s="64">
        <v>0</v>
      </c>
      <c r="AP71" s="65">
        <f t="shared" si="76"/>
        <v>0</v>
      </c>
      <c r="AQ71" s="126">
        <f t="shared" si="54"/>
        <v>66.5</v>
      </c>
      <c r="AR71" s="64">
        <f>SUM(Q71)+(S71+X71+AC71+AH71)+SUM((U71+Z71+AE71+AJ71+AN71)*-1)</f>
        <v>46.316</v>
      </c>
      <c r="AS71" s="64">
        <f>SUM(AQ71-AR71)</f>
        <v>20.183999999999997</v>
      </c>
      <c r="AT71" s="128">
        <f>SUM(AP71)</f>
        <v>0</v>
      </c>
      <c r="AU71" s="126">
        <v>0</v>
      </c>
      <c r="AV71" s="122">
        <v>0</v>
      </c>
      <c r="AW71" s="120">
        <v>-0.375</v>
      </c>
      <c r="AX71" s="122">
        <v>-0.004</v>
      </c>
      <c r="AY71" s="16">
        <f t="shared" si="58"/>
        <v>19.804999999999996</v>
      </c>
      <c r="AZ71" s="64">
        <v>0</v>
      </c>
      <c r="BA71" s="64">
        <v>0</v>
      </c>
      <c r="BB71" s="64">
        <v>0</v>
      </c>
      <c r="BC71" s="65">
        <f t="shared" si="59"/>
        <v>0</v>
      </c>
      <c r="BD71" s="273">
        <v>0</v>
      </c>
      <c r="BE71" s="295">
        <v>0</v>
      </c>
      <c r="BF71" s="295">
        <v>-0.494</v>
      </c>
      <c r="BG71" s="295">
        <v>0</v>
      </c>
      <c r="BH71" s="297">
        <f t="shared" si="60"/>
        <v>19.310999999999996</v>
      </c>
      <c r="BI71" s="97">
        <v>0</v>
      </c>
      <c r="BJ71" s="97">
        <v>0</v>
      </c>
      <c r="BK71" s="97">
        <v>0</v>
      </c>
      <c r="BL71" s="274">
        <f t="shared" si="61"/>
        <v>0</v>
      </c>
      <c r="BM71" s="271">
        <v>0</v>
      </c>
      <c r="BN71" s="151">
        <v>0</v>
      </c>
      <c r="BO71" s="151">
        <v>-0.461998</v>
      </c>
      <c r="BP71" s="151">
        <v>-16.349</v>
      </c>
      <c r="BQ71" s="304">
        <f t="shared" si="62"/>
        <v>2.500001999999995</v>
      </c>
      <c r="BR71" s="97">
        <v>0</v>
      </c>
      <c r="BS71" s="97">
        <v>0</v>
      </c>
      <c r="BT71" s="97">
        <v>0</v>
      </c>
      <c r="BU71" s="274">
        <f t="shared" si="105"/>
        <v>0</v>
      </c>
      <c r="BV71" s="166">
        <v>0</v>
      </c>
      <c r="BW71" s="151">
        <v>0</v>
      </c>
      <c r="BX71" s="308">
        <v>-0.41909</v>
      </c>
      <c r="BY71" s="151">
        <v>0</v>
      </c>
      <c r="BZ71" s="332">
        <f t="shared" si="64"/>
        <v>2.0809119999999948</v>
      </c>
      <c r="CA71" s="151">
        <v>0</v>
      </c>
      <c r="CB71" s="151">
        <v>0</v>
      </c>
      <c r="CC71" s="151">
        <v>0</v>
      </c>
      <c r="CD71" s="329">
        <f t="shared" si="106"/>
        <v>0</v>
      </c>
      <c r="CE71" s="257">
        <f t="shared" si="107"/>
        <v>50.14699999999999</v>
      </c>
      <c r="CF71" s="157">
        <f t="shared" si="108"/>
        <v>48.066088</v>
      </c>
      <c r="CG71" s="157">
        <f t="shared" si="109"/>
        <v>2.0809119999999908</v>
      </c>
      <c r="CH71" s="160">
        <f t="shared" si="69"/>
        <v>0</v>
      </c>
      <c r="CI71" s="166">
        <v>0</v>
      </c>
      <c r="CJ71" s="151">
        <v>0</v>
      </c>
      <c r="CK71" s="308">
        <v>-0.119212</v>
      </c>
      <c r="CL71" s="151">
        <v>0</v>
      </c>
      <c r="CM71" s="284">
        <f t="shared" si="83"/>
        <v>1.9616999999999907</v>
      </c>
      <c r="CN71" s="151">
        <v>0</v>
      </c>
      <c r="CO71" s="151">
        <v>0</v>
      </c>
      <c r="CP71" s="151">
        <v>0</v>
      </c>
      <c r="CQ71" s="329">
        <f t="shared" si="110"/>
        <v>0</v>
      </c>
      <c r="CR71" s="166">
        <v>0</v>
      </c>
      <c r="CS71" s="151">
        <v>0</v>
      </c>
      <c r="CT71" s="308">
        <v>-0.306</v>
      </c>
      <c r="CU71" s="151">
        <v>0</v>
      </c>
      <c r="CV71" s="284">
        <f t="shared" si="78"/>
        <v>1.6556999999999906</v>
      </c>
      <c r="CW71" s="151">
        <v>0</v>
      </c>
      <c r="CX71" s="151">
        <v>0</v>
      </c>
      <c r="CY71" s="151">
        <v>0</v>
      </c>
      <c r="CZ71" s="162">
        <f t="shared" si="102"/>
        <v>0</v>
      </c>
      <c r="DA71" s="166">
        <v>0</v>
      </c>
      <c r="DB71" s="151">
        <v>-1.205</v>
      </c>
      <c r="DC71" s="308">
        <v>-0.450545</v>
      </c>
      <c r="DD71" s="151">
        <v>0</v>
      </c>
      <c r="DE71" s="284">
        <f t="shared" si="80"/>
        <v>0.00015499999999057934</v>
      </c>
      <c r="DF71" s="151">
        <v>0</v>
      </c>
      <c r="DG71" s="151">
        <v>0</v>
      </c>
      <c r="DH71" s="151">
        <v>0</v>
      </c>
      <c r="DI71" s="162">
        <f t="shared" si="103"/>
        <v>0</v>
      </c>
      <c r="DJ71" s="159">
        <f t="shared" si="71"/>
        <v>48.94199999999999</v>
      </c>
      <c r="DK71" s="260">
        <f t="shared" si="72"/>
        <v>48.941844999999994</v>
      </c>
      <c r="DL71" s="260">
        <f t="shared" si="111"/>
        <v>0.00015499999999946112</v>
      </c>
      <c r="DM71" s="160">
        <f t="shared" si="74"/>
        <v>0</v>
      </c>
      <c r="DN71" s="84"/>
      <c r="DO71" s="38"/>
      <c r="DP71" s="38"/>
      <c r="DQ71" s="38"/>
      <c r="DR71" s="38"/>
      <c r="DS71" s="38"/>
      <c r="DT71" s="38"/>
    </row>
    <row r="72" spans="2:124" s="33" customFormat="1" ht="12.75">
      <c r="B72" s="10" t="s">
        <v>30</v>
      </c>
      <c r="C72" s="38" t="s">
        <v>113</v>
      </c>
      <c r="D72" s="29">
        <v>35</v>
      </c>
      <c r="E72" s="27">
        <f>1500-35+8.9-66.5</f>
        <v>1407.4</v>
      </c>
      <c r="F72" s="27">
        <f>-466.5+35+8.8-7.1+8.8</f>
        <v>-421</v>
      </c>
      <c r="G72" s="27">
        <v>0</v>
      </c>
      <c r="H72" s="14">
        <f t="shared" si="9"/>
        <v>986.4000000000001</v>
      </c>
      <c r="I72" s="29">
        <v>0</v>
      </c>
      <c r="J72" s="27">
        <f>-8.8-1.8</f>
        <v>-10.600000000000001</v>
      </c>
      <c r="K72" s="27">
        <f>-580.6-4+4+3.2+15.5</f>
        <v>-561.9</v>
      </c>
      <c r="L72" s="27">
        <v>0</v>
      </c>
      <c r="M72" s="27">
        <v>0</v>
      </c>
      <c r="N72" s="27">
        <v>0</v>
      </c>
      <c r="O72" s="14">
        <f>SUM(H72,J72:N72)</f>
        <v>413.9000000000001</v>
      </c>
      <c r="P72" s="12">
        <f>SUM(D72,E72,I72,J72)+1.1+0.6</f>
        <v>1433.5</v>
      </c>
      <c r="Q72" s="13">
        <f>SUM(D72,I72)+SUM(F72,K72,M72)*-1+1.1+0.6</f>
        <v>1019.6</v>
      </c>
      <c r="R72" s="34">
        <f t="shared" si="50"/>
        <v>413.9</v>
      </c>
      <c r="S72" s="57">
        <v>0</v>
      </c>
      <c r="T72" s="27">
        <v>-180</v>
      </c>
      <c r="U72" s="27">
        <f>-101.9+14.951</f>
        <v>-86.94900000000001</v>
      </c>
      <c r="V72" s="58">
        <v>0</v>
      </c>
      <c r="W72" s="59">
        <f t="shared" si="51"/>
        <v>146.95099999999996</v>
      </c>
      <c r="X72" s="57">
        <v>0</v>
      </c>
      <c r="Y72" s="58">
        <v>0</v>
      </c>
      <c r="Z72" s="58">
        <f>-31.04+5.64</f>
        <v>-25.4</v>
      </c>
      <c r="AA72" s="58">
        <v>0</v>
      </c>
      <c r="AB72" s="59">
        <f t="shared" si="104"/>
        <v>121.55099999999996</v>
      </c>
      <c r="AC72" s="57">
        <v>0</v>
      </c>
      <c r="AD72" s="27">
        <v>0</v>
      </c>
      <c r="AE72" s="27">
        <f>-8.6+1.055</f>
        <v>-7.545</v>
      </c>
      <c r="AF72" s="58">
        <v>0</v>
      </c>
      <c r="AG72" s="70">
        <f t="shared" si="53"/>
        <v>114.00599999999996</v>
      </c>
      <c r="AH72" s="57">
        <v>0</v>
      </c>
      <c r="AI72" s="58">
        <v>0</v>
      </c>
      <c r="AJ72" s="27">
        <v>-8.153</v>
      </c>
      <c r="AK72" s="58">
        <v>0</v>
      </c>
      <c r="AL72" s="70">
        <f t="shared" si="75"/>
        <v>105.85299999999995</v>
      </c>
      <c r="AM72" s="58">
        <v>0</v>
      </c>
      <c r="AN72" s="58">
        <v>0</v>
      </c>
      <c r="AO72" s="58">
        <v>0</v>
      </c>
      <c r="AP72" s="59">
        <f t="shared" si="76"/>
        <v>0</v>
      </c>
      <c r="AQ72" s="57">
        <f t="shared" si="54"/>
        <v>1253.5</v>
      </c>
      <c r="AR72" s="58">
        <f t="shared" si="55"/>
        <v>1147.647</v>
      </c>
      <c r="AS72" s="58">
        <f t="shared" si="56"/>
        <v>105.85300000000007</v>
      </c>
      <c r="AT72" s="92">
        <f t="shared" si="57"/>
        <v>0</v>
      </c>
      <c r="AU72" s="57">
        <v>0</v>
      </c>
      <c r="AV72" s="58">
        <v>0</v>
      </c>
      <c r="AW72" s="27">
        <v>-9.49</v>
      </c>
      <c r="AX72" s="58">
        <v>0.017</v>
      </c>
      <c r="AY72" s="16">
        <f t="shared" si="58"/>
        <v>96.38000000000007</v>
      </c>
      <c r="AZ72" s="58">
        <v>0</v>
      </c>
      <c r="BA72" s="58">
        <v>0</v>
      </c>
      <c r="BB72" s="58">
        <v>0</v>
      </c>
      <c r="BC72" s="59">
        <f t="shared" si="59"/>
        <v>0</v>
      </c>
      <c r="BD72" s="257">
        <v>0</v>
      </c>
      <c r="BE72" s="260">
        <v>-50</v>
      </c>
      <c r="BF72" s="260">
        <v>-11.102</v>
      </c>
      <c r="BG72" s="260">
        <v>0</v>
      </c>
      <c r="BH72" s="297">
        <f t="shared" si="60"/>
        <v>35.27800000000006</v>
      </c>
      <c r="BI72" s="157">
        <v>0</v>
      </c>
      <c r="BJ72" s="157">
        <v>0</v>
      </c>
      <c r="BK72" s="157">
        <v>0</v>
      </c>
      <c r="BL72" s="259">
        <f t="shared" si="61"/>
        <v>0</v>
      </c>
      <c r="BM72" s="257">
        <v>0</v>
      </c>
      <c r="BN72" s="260">
        <v>0</v>
      </c>
      <c r="BO72" s="260">
        <v>-8.652674</v>
      </c>
      <c r="BP72" s="293">
        <v>16.349</v>
      </c>
      <c r="BQ72" s="297">
        <f t="shared" si="62"/>
        <v>42.97432600000006</v>
      </c>
      <c r="BR72" s="157">
        <v>0</v>
      </c>
      <c r="BS72" s="157">
        <v>0</v>
      </c>
      <c r="BT72" s="157">
        <v>0</v>
      </c>
      <c r="BU72" s="259">
        <f t="shared" si="105"/>
        <v>0</v>
      </c>
      <c r="BV72" s="159">
        <v>0</v>
      </c>
      <c r="BW72" s="260">
        <v>0</v>
      </c>
      <c r="BX72" s="308">
        <v>-9.212773</v>
      </c>
      <c r="BY72" s="260">
        <v>0</v>
      </c>
      <c r="BZ72" s="284">
        <f t="shared" si="64"/>
        <v>33.76155300000006</v>
      </c>
      <c r="CA72" s="260">
        <v>0</v>
      </c>
      <c r="CB72" s="260">
        <v>0</v>
      </c>
      <c r="CC72" s="260">
        <v>0</v>
      </c>
      <c r="CD72" s="162">
        <f t="shared" si="106"/>
        <v>0</v>
      </c>
      <c r="CE72" s="257">
        <f t="shared" si="107"/>
        <v>1219.866</v>
      </c>
      <c r="CF72" s="157">
        <f t="shared" si="108"/>
        <v>1186.104447</v>
      </c>
      <c r="CG72" s="157">
        <f t="shared" si="109"/>
        <v>33.76155300000005</v>
      </c>
      <c r="CH72" s="160">
        <f t="shared" si="69"/>
        <v>0</v>
      </c>
      <c r="CI72" s="159">
        <v>0</v>
      </c>
      <c r="CJ72" s="260">
        <v>0</v>
      </c>
      <c r="CK72" s="308">
        <v>-7.273</v>
      </c>
      <c r="CL72" s="260">
        <v>0</v>
      </c>
      <c r="CM72" s="284">
        <f t="shared" si="83"/>
        <v>26.48855300000005</v>
      </c>
      <c r="CN72" s="260">
        <v>0</v>
      </c>
      <c r="CO72" s="260">
        <v>0</v>
      </c>
      <c r="CP72" s="260">
        <v>0</v>
      </c>
      <c r="CQ72" s="162">
        <f t="shared" si="110"/>
        <v>0</v>
      </c>
      <c r="CR72" s="159">
        <v>0</v>
      </c>
      <c r="CS72" s="260">
        <v>0</v>
      </c>
      <c r="CT72" s="308">
        <v>-3.238</v>
      </c>
      <c r="CU72" s="260">
        <v>0</v>
      </c>
      <c r="CV72" s="284">
        <f t="shared" si="78"/>
        <v>23.25055300000005</v>
      </c>
      <c r="CW72" s="260">
        <v>0</v>
      </c>
      <c r="CX72" s="260">
        <v>0</v>
      </c>
      <c r="CY72" s="260">
        <v>0</v>
      </c>
      <c r="CZ72" s="162">
        <f t="shared" si="102"/>
        <v>0</v>
      </c>
      <c r="DA72" s="159">
        <v>0</v>
      </c>
      <c r="DB72" s="260">
        <v>-18.323</v>
      </c>
      <c r="DC72" s="308">
        <f>-5.1036-0.055+0.230672</f>
        <v>-4.927928</v>
      </c>
      <c r="DD72" s="260">
        <v>0</v>
      </c>
      <c r="DE72" s="284">
        <f t="shared" si="80"/>
        <v>-0.0003749999999502762</v>
      </c>
      <c r="DF72" s="260">
        <v>0</v>
      </c>
      <c r="DG72" s="260">
        <v>0</v>
      </c>
      <c r="DH72" s="260">
        <v>0</v>
      </c>
      <c r="DI72" s="162">
        <f t="shared" si="103"/>
        <v>0</v>
      </c>
      <c r="DJ72" s="159">
        <f t="shared" si="71"/>
        <v>1201.543</v>
      </c>
      <c r="DK72" s="260">
        <f t="shared" si="72"/>
        <v>1201.543375</v>
      </c>
      <c r="DL72" s="260">
        <f t="shared" si="111"/>
        <v>-0.00037500000007639755</v>
      </c>
      <c r="DM72" s="160">
        <f t="shared" si="74"/>
        <v>0</v>
      </c>
      <c r="DN72" s="84"/>
      <c r="DO72" s="38"/>
      <c r="DP72" s="38"/>
      <c r="DQ72" s="38"/>
      <c r="DR72" s="38"/>
      <c r="DS72" s="38"/>
      <c r="DT72" s="38"/>
    </row>
    <row r="73" spans="2:124" s="33" customFormat="1" ht="12.75">
      <c r="B73" s="10" t="s">
        <v>30</v>
      </c>
      <c r="C73" s="38" t="s">
        <v>87</v>
      </c>
      <c r="D73" s="29"/>
      <c r="E73" s="27"/>
      <c r="F73" s="27"/>
      <c r="G73" s="27"/>
      <c r="H73" s="14"/>
      <c r="I73" s="29"/>
      <c r="J73" s="27"/>
      <c r="K73" s="27"/>
      <c r="L73" s="27"/>
      <c r="M73" s="27"/>
      <c r="N73" s="27"/>
      <c r="O73" s="14"/>
      <c r="P73" s="12"/>
      <c r="Q73" s="13"/>
      <c r="R73" s="34"/>
      <c r="S73" s="57"/>
      <c r="T73" s="27"/>
      <c r="U73" s="27"/>
      <c r="V73" s="58"/>
      <c r="W73" s="59"/>
      <c r="X73" s="57"/>
      <c r="Y73" s="58"/>
      <c r="Z73" s="58"/>
      <c r="AA73" s="58"/>
      <c r="AB73" s="59"/>
      <c r="AC73" s="57"/>
      <c r="AD73" s="27"/>
      <c r="AE73" s="27"/>
      <c r="AF73" s="58"/>
      <c r="AG73" s="70"/>
      <c r="AH73" s="57"/>
      <c r="AI73" s="58"/>
      <c r="AJ73" s="27"/>
      <c r="AK73" s="58"/>
      <c r="AL73" s="70"/>
      <c r="AM73" s="58"/>
      <c r="AN73" s="58"/>
      <c r="AO73" s="58"/>
      <c r="AP73" s="59"/>
      <c r="AQ73" s="57"/>
      <c r="AR73" s="58"/>
      <c r="AS73" s="58"/>
      <c r="AT73" s="92"/>
      <c r="AU73" s="57"/>
      <c r="AV73" s="58"/>
      <c r="AW73" s="27"/>
      <c r="AX73" s="58"/>
      <c r="AY73" s="16"/>
      <c r="AZ73" s="58"/>
      <c r="BA73" s="58"/>
      <c r="BB73" s="58"/>
      <c r="BC73" s="59"/>
      <c r="BD73" s="257"/>
      <c r="BE73" s="260"/>
      <c r="BF73" s="260"/>
      <c r="BG73" s="260"/>
      <c r="BH73" s="297"/>
      <c r="BI73" s="157"/>
      <c r="BJ73" s="157"/>
      <c r="BK73" s="157"/>
      <c r="BL73" s="259"/>
      <c r="BM73" s="257">
        <v>0</v>
      </c>
      <c r="BN73" s="260">
        <f>631.190617-BN56-1010.487</f>
        <v>0.0004170000000840446</v>
      </c>
      <c r="BO73" s="260">
        <v>0</v>
      </c>
      <c r="BP73" s="260">
        <v>0</v>
      </c>
      <c r="BQ73" s="284">
        <f t="shared" si="62"/>
        <v>0.0004170000000840446</v>
      </c>
      <c r="BR73" s="157">
        <v>0</v>
      </c>
      <c r="BS73" s="157">
        <v>0</v>
      </c>
      <c r="BT73" s="157">
        <v>0</v>
      </c>
      <c r="BU73" s="259">
        <f t="shared" si="105"/>
        <v>0</v>
      </c>
      <c r="BV73" s="159">
        <v>0</v>
      </c>
      <c r="BW73" s="260">
        <v>0</v>
      </c>
      <c r="BX73" s="260">
        <v>0</v>
      </c>
      <c r="BY73" s="260">
        <v>0</v>
      </c>
      <c r="BZ73" s="284">
        <f t="shared" si="64"/>
        <v>0.0004170000000840446</v>
      </c>
      <c r="CA73" s="260">
        <v>0</v>
      </c>
      <c r="CB73" s="260">
        <v>0</v>
      </c>
      <c r="CC73" s="260">
        <v>0</v>
      </c>
      <c r="CD73" s="162">
        <f t="shared" si="106"/>
        <v>0</v>
      </c>
      <c r="CE73" s="257">
        <f t="shared" si="107"/>
        <v>0.0004170000000840446</v>
      </c>
      <c r="CF73" s="157">
        <f t="shared" si="108"/>
        <v>0</v>
      </c>
      <c r="CG73" s="157">
        <f t="shared" si="109"/>
        <v>0.0004170000000840446</v>
      </c>
      <c r="CH73" s="160">
        <f t="shared" si="69"/>
        <v>0</v>
      </c>
      <c r="CI73" s="159">
        <v>0</v>
      </c>
      <c r="CJ73" s="260">
        <v>0</v>
      </c>
      <c r="CK73" s="260">
        <v>0</v>
      </c>
      <c r="CL73" s="260">
        <v>0</v>
      </c>
      <c r="CM73" s="284">
        <f t="shared" si="83"/>
        <v>0.0004170000000840446</v>
      </c>
      <c r="CN73" s="260">
        <v>0</v>
      </c>
      <c r="CO73" s="260">
        <v>0</v>
      </c>
      <c r="CP73" s="260">
        <v>0</v>
      </c>
      <c r="CQ73" s="162">
        <f t="shared" si="110"/>
        <v>0</v>
      </c>
      <c r="CR73" s="159">
        <v>0</v>
      </c>
      <c r="CS73" s="260">
        <v>0</v>
      </c>
      <c r="CT73" s="260">
        <v>0</v>
      </c>
      <c r="CU73" s="260">
        <v>0</v>
      </c>
      <c r="CV73" s="284">
        <f t="shared" si="78"/>
        <v>0.0004170000000840446</v>
      </c>
      <c r="CW73" s="260">
        <v>0</v>
      </c>
      <c r="CX73" s="260">
        <v>0</v>
      </c>
      <c r="CY73" s="260">
        <v>0</v>
      </c>
      <c r="CZ73" s="162">
        <f t="shared" si="102"/>
        <v>0</v>
      </c>
      <c r="DA73" s="159">
        <v>0</v>
      </c>
      <c r="DB73" s="260">
        <v>0</v>
      </c>
      <c r="DC73" s="260">
        <v>0</v>
      </c>
      <c r="DD73" s="260">
        <v>25.073</v>
      </c>
      <c r="DE73" s="284">
        <f t="shared" si="80"/>
        <v>25.073417000000084</v>
      </c>
      <c r="DF73" s="260">
        <v>0</v>
      </c>
      <c r="DG73" s="260">
        <v>0</v>
      </c>
      <c r="DH73" s="260">
        <v>0</v>
      </c>
      <c r="DI73" s="162">
        <f t="shared" si="103"/>
        <v>0</v>
      </c>
      <c r="DJ73" s="159">
        <f t="shared" si="71"/>
        <v>25.073417000000084</v>
      </c>
      <c r="DK73" s="260">
        <f t="shared" si="72"/>
        <v>0</v>
      </c>
      <c r="DL73" s="260">
        <f t="shared" si="111"/>
        <v>25.073417000000084</v>
      </c>
      <c r="DM73" s="160">
        <f t="shared" si="74"/>
        <v>0</v>
      </c>
      <c r="DN73" s="84"/>
      <c r="DO73" s="38"/>
      <c r="DP73" s="38"/>
      <c r="DQ73" s="38"/>
      <c r="DR73" s="38"/>
      <c r="DS73" s="38"/>
      <c r="DT73" s="38"/>
    </row>
    <row r="74" spans="2:118" s="30" customFormat="1" ht="12.75">
      <c r="B74" s="109" t="s">
        <v>32</v>
      </c>
      <c r="C74" s="110"/>
      <c r="D74" s="111">
        <f aca="true" t="shared" si="112" ref="D74:AI74">SUM(D31:D72)</f>
        <v>184.1</v>
      </c>
      <c r="E74" s="112">
        <f t="shared" si="112"/>
        <v>13940.6</v>
      </c>
      <c r="F74" s="112">
        <f t="shared" si="112"/>
        <v>-3736.6040000000003</v>
      </c>
      <c r="G74" s="112">
        <f t="shared" si="112"/>
        <v>0</v>
      </c>
      <c r="H74" s="113">
        <f t="shared" si="112"/>
        <v>10203.996</v>
      </c>
      <c r="I74" s="111">
        <f t="shared" si="112"/>
        <v>0</v>
      </c>
      <c r="J74" s="112">
        <f t="shared" si="112"/>
        <v>2928.4900000000007</v>
      </c>
      <c r="K74" s="112">
        <f t="shared" si="112"/>
        <v>-3837.160322</v>
      </c>
      <c r="L74" s="112">
        <f t="shared" si="112"/>
        <v>0</v>
      </c>
      <c r="M74" s="112">
        <f t="shared" si="112"/>
        <v>0</v>
      </c>
      <c r="N74" s="112">
        <f t="shared" si="112"/>
        <v>0</v>
      </c>
      <c r="O74" s="113">
        <f t="shared" si="112"/>
        <v>9295.325678</v>
      </c>
      <c r="P74" s="111">
        <f t="shared" si="112"/>
        <v>17053.273</v>
      </c>
      <c r="Q74" s="112">
        <f t="shared" si="112"/>
        <v>7757.824322000001</v>
      </c>
      <c r="R74" s="113">
        <f t="shared" si="112"/>
        <v>9295.448677999999</v>
      </c>
      <c r="S74" s="114">
        <f t="shared" si="112"/>
        <v>0</v>
      </c>
      <c r="T74" s="115">
        <f t="shared" si="112"/>
        <v>241.8</v>
      </c>
      <c r="U74" s="115">
        <f t="shared" si="112"/>
        <v>-554.3187210000001</v>
      </c>
      <c r="V74" s="115">
        <f t="shared" si="112"/>
        <v>0.04</v>
      </c>
      <c r="W74" s="116">
        <f t="shared" si="112"/>
        <v>8982.969957</v>
      </c>
      <c r="X74" s="114">
        <f t="shared" si="112"/>
        <v>0</v>
      </c>
      <c r="Y74" s="115">
        <f t="shared" si="112"/>
        <v>588.045</v>
      </c>
      <c r="Z74" s="115">
        <f t="shared" si="112"/>
        <v>-582.813866</v>
      </c>
      <c r="AA74" s="115">
        <f t="shared" si="112"/>
        <v>0.040000000000000036</v>
      </c>
      <c r="AB74" s="116">
        <f t="shared" si="112"/>
        <v>8988.241091</v>
      </c>
      <c r="AC74" s="114">
        <f t="shared" si="112"/>
        <v>0</v>
      </c>
      <c r="AD74" s="115">
        <f t="shared" si="112"/>
        <v>380.15999999999997</v>
      </c>
      <c r="AE74" s="115">
        <f t="shared" si="112"/>
        <v>-274.88175900000005</v>
      </c>
      <c r="AF74" s="115">
        <f t="shared" si="112"/>
        <v>0</v>
      </c>
      <c r="AG74" s="115">
        <f t="shared" si="112"/>
        <v>9093.519332</v>
      </c>
      <c r="AH74" s="114">
        <f t="shared" si="112"/>
        <v>0</v>
      </c>
      <c r="AI74" s="115">
        <f t="shared" si="112"/>
        <v>2903.543</v>
      </c>
      <c r="AJ74" s="115">
        <f aca="true" t="shared" si="113" ref="AJ74:BC74">SUM(AJ31:AJ72)</f>
        <v>-3049.772999999999</v>
      </c>
      <c r="AK74" s="115">
        <f t="shared" si="113"/>
        <v>4.299999999999997</v>
      </c>
      <c r="AL74" s="115">
        <f t="shared" si="113"/>
        <v>8951.589331999998</v>
      </c>
      <c r="AM74" s="115">
        <f t="shared" si="113"/>
        <v>0</v>
      </c>
      <c r="AN74" s="115">
        <f t="shared" si="113"/>
        <v>0</v>
      </c>
      <c r="AO74" s="115">
        <f t="shared" si="113"/>
        <v>0</v>
      </c>
      <c r="AP74" s="116">
        <f t="shared" si="113"/>
        <v>0</v>
      </c>
      <c r="AQ74" s="114">
        <f t="shared" si="113"/>
        <v>21171.200999999997</v>
      </c>
      <c r="AR74" s="115">
        <f t="shared" si="113"/>
        <v>12219.611668000001</v>
      </c>
      <c r="AS74" s="115">
        <f t="shared" si="113"/>
        <v>8951.589332</v>
      </c>
      <c r="AT74" s="113">
        <f t="shared" si="113"/>
        <v>0</v>
      </c>
      <c r="AU74" s="114">
        <f t="shared" si="113"/>
        <v>0</v>
      </c>
      <c r="AV74" s="115">
        <f t="shared" si="113"/>
        <v>475.288</v>
      </c>
      <c r="AW74" s="115">
        <f t="shared" si="113"/>
        <v>-708.178</v>
      </c>
      <c r="AX74" s="115">
        <f t="shared" si="113"/>
        <v>-3932.786492</v>
      </c>
      <c r="AY74" s="115">
        <f t="shared" si="113"/>
        <v>4785.91284</v>
      </c>
      <c r="AZ74" s="115">
        <f t="shared" si="113"/>
        <v>3932.847492</v>
      </c>
      <c r="BA74" s="115">
        <f t="shared" si="113"/>
        <v>-356</v>
      </c>
      <c r="BB74" s="115">
        <f t="shared" si="113"/>
        <v>9.56</v>
      </c>
      <c r="BC74" s="116">
        <f t="shared" si="113"/>
        <v>3586.407492</v>
      </c>
      <c r="BD74" s="265">
        <f aca="true" t="shared" si="114" ref="BD74:CQ74">SUM(BD31:BD73)</f>
        <v>0</v>
      </c>
      <c r="BE74" s="267">
        <f t="shared" si="114"/>
        <v>1369.132</v>
      </c>
      <c r="BF74" s="267">
        <f t="shared" si="114"/>
        <v>-898.5335000000001</v>
      </c>
      <c r="BG74" s="267">
        <f t="shared" si="114"/>
        <v>0</v>
      </c>
      <c r="BH74" s="267">
        <f t="shared" si="114"/>
        <v>5256.51134</v>
      </c>
      <c r="BI74" s="267">
        <f t="shared" si="114"/>
        <v>0</v>
      </c>
      <c r="BJ74" s="267">
        <f t="shared" si="114"/>
        <v>-38.191716</v>
      </c>
      <c r="BK74" s="267">
        <f t="shared" si="114"/>
        <v>9.25</v>
      </c>
      <c r="BL74" s="158">
        <f t="shared" si="114"/>
        <v>3557.465776</v>
      </c>
      <c r="BM74" s="265">
        <f t="shared" si="114"/>
        <v>0</v>
      </c>
      <c r="BN74" s="267">
        <f t="shared" si="114"/>
        <v>-401.65138299999995</v>
      </c>
      <c r="BO74" s="267">
        <f t="shared" si="114"/>
        <v>-1013.7776950000003</v>
      </c>
      <c r="BP74" s="267">
        <f t="shared" si="114"/>
        <v>0</v>
      </c>
      <c r="BQ74" s="267">
        <f t="shared" si="114"/>
        <v>3841.0822619999994</v>
      </c>
      <c r="BR74" s="267">
        <f t="shared" si="114"/>
        <v>0</v>
      </c>
      <c r="BS74" s="267">
        <f t="shared" si="114"/>
        <v>0</v>
      </c>
      <c r="BT74" s="267">
        <f t="shared" si="114"/>
        <v>9.27</v>
      </c>
      <c r="BU74" s="158">
        <f t="shared" si="114"/>
        <v>3566.735776</v>
      </c>
      <c r="BV74" s="265">
        <f t="shared" si="114"/>
        <v>0</v>
      </c>
      <c r="BW74" s="267">
        <f t="shared" si="114"/>
        <v>33.42067</v>
      </c>
      <c r="BX74" s="267">
        <f t="shared" si="114"/>
        <v>-243.85010600000004</v>
      </c>
      <c r="BY74" s="267">
        <f t="shared" si="114"/>
        <v>0</v>
      </c>
      <c r="BZ74" s="267">
        <f t="shared" si="114"/>
        <v>3630.6528259999995</v>
      </c>
      <c r="CA74" s="267">
        <f t="shared" si="114"/>
        <v>0</v>
      </c>
      <c r="CB74" s="267">
        <f t="shared" si="114"/>
        <v>0</v>
      </c>
      <c r="CC74" s="267">
        <f t="shared" si="114"/>
        <v>9.3</v>
      </c>
      <c r="CD74" s="158">
        <f t="shared" si="114"/>
        <v>3576.035776</v>
      </c>
      <c r="CE74" s="265">
        <f t="shared" si="114"/>
        <v>22684.831286999997</v>
      </c>
      <c r="CF74" s="267">
        <f t="shared" si="114"/>
        <v>15478.142684999997</v>
      </c>
      <c r="CG74" s="267">
        <f t="shared" si="114"/>
        <v>3630.6528260000005</v>
      </c>
      <c r="CH74" s="316">
        <f t="shared" si="114"/>
        <v>3576.035776</v>
      </c>
      <c r="CI74" s="265">
        <f t="shared" si="114"/>
        <v>0</v>
      </c>
      <c r="CJ74" s="267">
        <f t="shared" si="114"/>
        <v>4.290621</v>
      </c>
      <c r="CK74" s="267">
        <f t="shared" si="114"/>
        <v>-157.577117</v>
      </c>
      <c r="CL74" s="267">
        <f t="shared" si="114"/>
        <v>0</v>
      </c>
      <c r="CM74" s="267">
        <f t="shared" si="114"/>
        <v>3477.3663300000003</v>
      </c>
      <c r="CN74" s="267">
        <f t="shared" si="114"/>
        <v>0</v>
      </c>
      <c r="CO74" s="267">
        <f t="shared" si="114"/>
        <v>-565</v>
      </c>
      <c r="CP74" s="267">
        <f t="shared" si="114"/>
        <v>8.89</v>
      </c>
      <c r="CQ74" s="158">
        <f t="shared" si="114"/>
        <v>3019.925776</v>
      </c>
      <c r="CR74" s="265">
        <f aca="true" t="shared" si="115" ref="CR74:CZ74">SUM(CR31:CR73)</f>
        <v>0</v>
      </c>
      <c r="CS74" s="267">
        <f t="shared" si="115"/>
        <v>5.707239999999999</v>
      </c>
      <c r="CT74" s="267">
        <f t="shared" si="115"/>
        <v>-179.89339700000002</v>
      </c>
      <c r="CU74" s="267">
        <f t="shared" si="115"/>
        <v>0</v>
      </c>
      <c r="CV74" s="267">
        <f t="shared" si="115"/>
        <v>3303.6301729999996</v>
      </c>
      <c r="CW74" s="267">
        <f t="shared" si="115"/>
        <v>0</v>
      </c>
      <c r="CX74" s="267">
        <f t="shared" si="115"/>
        <v>-25.157514</v>
      </c>
      <c r="CY74" s="267">
        <f t="shared" si="115"/>
        <v>8.695</v>
      </c>
      <c r="CZ74" s="158">
        <f t="shared" si="115"/>
        <v>3003.463262</v>
      </c>
      <c r="DA74" s="265">
        <f aca="true" t="shared" si="116" ref="DA74:DI74">SUM(DA31:DA73)</f>
        <v>0</v>
      </c>
      <c r="DB74" s="267">
        <f t="shared" si="116"/>
        <v>471.13800000000003</v>
      </c>
      <c r="DC74" s="267">
        <f t="shared" si="116"/>
        <v>-295.31694899999997</v>
      </c>
      <c r="DD74" s="267">
        <f t="shared" si="116"/>
        <v>0</v>
      </c>
      <c r="DE74" s="267">
        <f t="shared" si="116"/>
        <v>3479.4512240000004</v>
      </c>
      <c r="DF74" s="267">
        <f t="shared" si="116"/>
        <v>0</v>
      </c>
      <c r="DG74" s="267">
        <f t="shared" si="116"/>
        <v>0</v>
      </c>
      <c r="DH74" s="267">
        <f t="shared" si="116"/>
        <v>8.723</v>
      </c>
      <c r="DI74" s="158">
        <f t="shared" si="116"/>
        <v>3012.186262</v>
      </c>
      <c r="DJ74" s="275">
        <f>SUM(DJ30:DJ73)</f>
        <v>23192.275147999993</v>
      </c>
      <c r="DK74" s="266">
        <f>SUM(DK30:DK73)</f>
        <v>16701.087661999998</v>
      </c>
      <c r="DL74" s="266">
        <f>SUM(DL30:DL73)</f>
        <v>3479.0012240000005</v>
      </c>
      <c r="DM74" s="316">
        <f>SUM(DM30:DM73)</f>
        <v>3012.186262</v>
      </c>
      <c r="DN74" s="84"/>
    </row>
    <row r="75" spans="2:124" s="32" customFormat="1" ht="4.5" customHeight="1">
      <c r="B75" s="11"/>
      <c r="D75" s="29"/>
      <c r="E75" s="27"/>
      <c r="F75" s="13"/>
      <c r="G75" s="13"/>
      <c r="H75" s="14"/>
      <c r="I75" s="12"/>
      <c r="J75" s="13"/>
      <c r="K75" s="13"/>
      <c r="L75" s="13"/>
      <c r="M75" s="13"/>
      <c r="N75" s="13"/>
      <c r="O75" s="14"/>
      <c r="P75" s="12"/>
      <c r="Q75" s="13"/>
      <c r="R75" s="34"/>
      <c r="S75" s="54"/>
      <c r="T75" s="55"/>
      <c r="U75" s="55"/>
      <c r="V75" s="55"/>
      <c r="W75" s="56"/>
      <c r="X75" s="54"/>
      <c r="Y75" s="55"/>
      <c r="Z75" s="55"/>
      <c r="AA75" s="55"/>
      <c r="AB75" s="56"/>
      <c r="AC75" s="54"/>
      <c r="AD75" s="55"/>
      <c r="AE75" s="55"/>
      <c r="AF75" s="55"/>
      <c r="AG75" s="93"/>
      <c r="AH75" s="94"/>
      <c r="AI75" s="93"/>
      <c r="AJ75" s="93"/>
      <c r="AK75" s="93"/>
      <c r="AL75" s="93"/>
      <c r="AM75" s="93"/>
      <c r="AN75" s="93"/>
      <c r="AO75" s="93"/>
      <c r="AP75" s="56"/>
      <c r="AQ75" s="57"/>
      <c r="AR75" s="58"/>
      <c r="AS75" s="58"/>
      <c r="AT75" s="92"/>
      <c r="AU75" s="94"/>
      <c r="AV75" s="93"/>
      <c r="AW75" s="93"/>
      <c r="AX75" s="93"/>
      <c r="AY75" s="93"/>
      <c r="AZ75" s="93"/>
      <c r="BA75" s="93"/>
      <c r="BB75" s="93"/>
      <c r="BC75" s="56"/>
      <c r="BD75" s="268"/>
      <c r="BE75" s="269"/>
      <c r="BF75" s="269"/>
      <c r="BG75" s="269"/>
      <c r="BH75" s="269"/>
      <c r="BI75" s="269"/>
      <c r="BJ75" s="269"/>
      <c r="BK75" s="269"/>
      <c r="BL75" s="270"/>
      <c r="BM75" s="268"/>
      <c r="BN75" s="269"/>
      <c r="BO75" s="269"/>
      <c r="BP75" s="269"/>
      <c r="BQ75" s="269"/>
      <c r="BR75" s="269"/>
      <c r="BS75" s="269"/>
      <c r="BT75" s="269"/>
      <c r="BU75" s="270"/>
      <c r="BV75" s="268"/>
      <c r="BW75" s="269"/>
      <c r="BX75" s="269"/>
      <c r="BY75" s="269"/>
      <c r="BZ75" s="269"/>
      <c r="CA75" s="269"/>
      <c r="CB75" s="269"/>
      <c r="CC75" s="269"/>
      <c r="CD75" s="270"/>
      <c r="CE75" s="257"/>
      <c r="CF75" s="157"/>
      <c r="CG75" s="157"/>
      <c r="CH75" s="160"/>
      <c r="CI75" s="268"/>
      <c r="CJ75" s="269"/>
      <c r="CK75" s="269"/>
      <c r="CL75" s="269"/>
      <c r="CM75" s="269"/>
      <c r="CN75" s="269"/>
      <c r="CO75" s="269"/>
      <c r="CP75" s="269"/>
      <c r="CQ75" s="270"/>
      <c r="CR75" s="268"/>
      <c r="CS75" s="269"/>
      <c r="CT75" s="269"/>
      <c r="CU75" s="269"/>
      <c r="CV75" s="269"/>
      <c r="CW75" s="269"/>
      <c r="CX75" s="269"/>
      <c r="CY75" s="269"/>
      <c r="CZ75" s="270"/>
      <c r="DA75" s="268"/>
      <c r="DB75" s="269"/>
      <c r="DC75" s="269"/>
      <c r="DD75" s="269"/>
      <c r="DE75" s="269"/>
      <c r="DF75" s="269"/>
      <c r="DG75" s="269"/>
      <c r="DH75" s="269"/>
      <c r="DI75" s="270"/>
      <c r="DJ75" s="371"/>
      <c r="DK75" s="363"/>
      <c r="DL75" s="363"/>
      <c r="DM75" s="372"/>
      <c r="DN75" s="84"/>
      <c r="DO75" s="80"/>
      <c r="DP75" s="80"/>
      <c r="DQ75" s="80"/>
      <c r="DR75" s="80"/>
      <c r="DS75" s="80"/>
      <c r="DT75" s="80"/>
    </row>
    <row r="76" spans="2:124" s="32" customFormat="1" ht="12.75">
      <c r="B76" s="8" t="s">
        <v>7</v>
      </c>
      <c r="C76" s="33" t="s">
        <v>29</v>
      </c>
      <c r="D76" s="29">
        <v>0</v>
      </c>
      <c r="E76" s="27">
        <v>3510</v>
      </c>
      <c r="F76" s="13">
        <v>0</v>
      </c>
      <c r="G76" s="13">
        <v>0</v>
      </c>
      <c r="H76" s="14">
        <f>SUM(E76:G76)</f>
        <v>3510</v>
      </c>
      <c r="I76" s="12">
        <v>0</v>
      </c>
      <c r="J76" s="13">
        <v>0</v>
      </c>
      <c r="K76" s="13">
        <v>0</v>
      </c>
      <c r="L76" s="13">
        <v>0</v>
      </c>
      <c r="M76" s="13">
        <v>0</v>
      </c>
      <c r="N76" s="13">
        <v>0</v>
      </c>
      <c r="O76" s="14">
        <f>SUM(H76,J76:N76)</f>
        <v>3510</v>
      </c>
      <c r="P76" s="12">
        <f>SUM(D76,E76,I76,J76)</f>
        <v>3510</v>
      </c>
      <c r="Q76" s="13">
        <f>SUM(D76,I76)+SUM(F76,K76,M76)*-1</f>
        <v>0</v>
      </c>
      <c r="R76" s="34">
        <f>SUM(P76-Q76)</f>
        <v>3510</v>
      </c>
      <c r="S76" s="57">
        <v>0</v>
      </c>
      <c r="T76" s="58">
        <v>0</v>
      </c>
      <c r="U76" s="58">
        <v>0</v>
      </c>
      <c r="V76" s="58">
        <v>0</v>
      </c>
      <c r="W76" s="59">
        <f>SUM(R76,T76:V76)</f>
        <v>3510</v>
      </c>
      <c r="X76" s="57">
        <v>0</v>
      </c>
      <c r="Y76" s="58">
        <v>0</v>
      </c>
      <c r="Z76" s="58">
        <v>0</v>
      </c>
      <c r="AA76" s="58">
        <v>0</v>
      </c>
      <c r="AB76" s="59">
        <f>SUM(W76,Y76:AA76)</f>
        <v>3510</v>
      </c>
      <c r="AC76" s="57">
        <v>0</v>
      </c>
      <c r="AD76" s="27">
        <v>0</v>
      </c>
      <c r="AE76" s="27">
        <v>0</v>
      </c>
      <c r="AF76" s="58">
        <v>0</v>
      </c>
      <c r="AG76" s="70">
        <f>SUM(AB76,AD76:AF76)</f>
        <v>3510</v>
      </c>
      <c r="AH76" s="57">
        <v>0</v>
      </c>
      <c r="AI76" s="58">
        <v>0</v>
      </c>
      <c r="AJ76" s="58">
        <v>0</v>
      </c>
      <c r="AK76" s="58">
        <v>0</v>
      </c>
      <c r="AL76" s="70">
        <f>SUM(AG76,AI76:AK76)</f>
        <v>3510</v>
      </c>
      <c r="AM76" s="99">
        <v>0</v>
      </c>
      <c r="AN76" s="58">
        <v>0</v>
      </c>
      <c r="AO76" s="58">
        <v>0</v>
      </c>
      <c r="AP76" s="59">
        <v>0</v>
      </c>
      <c r="AQ76" s="57">
        <f>SUM(P76,S76,T76,V76,X76,Y76,AA76,AC76,AD76,AF76,AH76,AI76,AK76,AM76,AO76)</f>
        <v>3510</v>
      </c>
      <c r="AR76" s="58">
        <f>SUM(Q76)+(S76+X76+AC76+AH76)+SUM((U76+Z76+AE76+AJ76)*-1)</f>
        <v>0</v>
      </c>
      <c r="AS76" s="58">
        <f>SUM(AQ76-AR76)</f>
        <v>3510</v>
      </c>
      <c r="AT76" s="66">
        <v>0</v>
      </c>
      <c r="AU76" s="57">
        <v>0</v>
      </c>
      <c r="AV76" s="58">
        <v>0</v>
      </c>
      <c r="AW76" s="58">
        <v>0</v>
      </c>
      <c r="AX76" s="58">
        <v>0</v>
      </c>
      <c r="AY76" s="16">
        <f>SUM(AS76,AV76:AX76)</f>
        <v>3510</v>
      </c>
      <c r="AZ76" s="70">
        <v>0</v>
      </c>
      <c r="BA76" s="58">
        <v>0</v>
      </c>
      <c r="BB76" s="58">
        <v>0</v>
      </c>
      <c r="BC76" s="59">
        <v>0</v>
      </c>
      <c r="BD76" s="257">
        <v>0</v>
      </c>
      <c r="BE76" s="157">
        <v>0</v>
      </c>
      <c r="BF76" s="157">
        <v>0</v>
      </c>
      <c r="BG76" s="157">
        <v>0</v>
      </c>
      <c r="BH76" s="258">
        <f>SUM(AY76,BE76:BG76)</f>
        <v>3510</v>
      </c>
      <c r="BI76" s="258">
        <v>0</v>
      </c>
      <c r="BJ76" s="157">
        <v>0</v>
      </c>
      <c r="BK76" s="157">
        <v>0</v>
      </c>
      <c r="BL76" s="259">
        <v>0</v>
      </c>
      <c r="BM76" s="257">
        <v>0</v>
      </c>
      <c r="BN76" s="157">
        <v>0</v>
      </c>
      <c r="BO76" s="157">
        <v>0</v>
      </c>
      <c r="BP76" s="157">
        <v>0</v>
      </c>
      <c r="BQ76" s="258">
        <f>SUM(BH76,BN76:BP76)</f>
        <v>3510</v>
      </c>
      <c r="BR76" s="258">
        <v>0</v>
      </c>
      <c r="BS76" s="157">
        <v>0</v>
      </c>
      <c r="BT76" s="157">
        <v>0</v>
      </c>
      <c r="BU76" s="259">
        <v>0</v>
      </c>
      <c r="BV76" s="257">
        <v>0</v>
      </c>
      <c r="BW76" s="157">
        <v>0</v>
      </c>
      <c r="BX76" s="157">
        <v>0</v>
      </c>
      <c r="BY76" s="157">
        <v>0</v>
      </c>
      <c r="BZ76" s="258">
        <f>SUM(BQ76,BW76:BY76)</f>
        <v>3510</v>
      </c>
      <c r="CA76" s="258">
        <v>0</v>
      </c>
      <c r="CB76" s="157">
        <v>0</v>
      </c>
      <c r="CC76" s="157">
        <v>0</v>
      </c>
      <c r="CD76" s="259">
        <v>0</v>
      </c>
      <c r="CE76" s="257">
        <f>SUM(AQ76,AU76,AV76,AX76,BD76,BE76,BG76,BM76,BN76,BP76,BV76,BW76,BY76)</f>
        <v>3510</v>
      </c>
      <c r="CF76" s="157">
        <f>SUM(AR76-AW76-BF76-BO76-BX76)</f>
        <v>0</v>
      </c>
      <c r="CG76" s="157">
        <f>SUM(CE76-CF76)</f>
        <v>3510</v>
      </c>
      <c r="CH76" s="160">
        <f>SUM(CD76)</f>
        <v>0</v>
      </c>
      <c r="CI76" s="257">
        <v>0</v>
      </c>
      <c r="CJ76" s="157">
        <v>0</v>
      </c>
      <c r="CK76" s="157">
        <v>0</v>
      </c>
      <c r="CL76" s="157">
        <v>0</v>
      </c>
      <c r="CM76" s="284">
        <f>SUM(CG76,CJ76,CK76,CL76)</f>
        <v>3510</v>
      </c>
      <c r="CN76" s="258">
        <v>0</v>
      </c>
      <c r="CO76" s="157">
        <v>0</v>
      </c>
      <c r="CP76" s="157">
        <v>0</v>
      </c>
      <c r="CQ76" s="259">
        <v>0</v>
      </c>
      <c r="CR76" s="257">
        <v>0</v>
      </c>
      <c r="CS76" s="157">
        <v>0</v>
      </c>
      <c r="CT76" s="157">
        <v>0</v>
      </c>
      <c r="CU76" s="157">
        <v>0</v>
      </c>
      <c r="CV76" s="284">
        <f>SUM(CP76,CS76,CT76,CU76)</f>
        <v>0</v>
      </c>
      <c r="CW76" s="258">
        <v>0</v>
      </c>
      <c r="CX76" s="157">
        <v>0</v>
      </c>
      <c r="CY76" s="157">
        <v>0</v>
      </c>
      <c r="CZ76" s="259">
        <v>0</v>
      </c>
      <c r="DA76" s="257">
        <v>0</v>
      </c>
      <c r="DB76" s="157">
        <v>0</v>
      </c>
      <c r="DC76" s="157">
        <v>0</v>
      </c>
      <c r="DD76" s="157">
        <v>0</v>
      </c>
      <c r="DE76" s="284">
        <f>SUM(CY76,DB76,DC76,DD76)</f>
        <v>0</v>
      </c>
      <c r="DF76" s="258">
        <v>0</v>
      </c>
      <c r="DG76" s="157">
        <v>0</v>
      </c>
      <c r="DH76" s="157">
        <v>0</v>
      </c>
      <c r="DI76" s="259">
        <v>0</v>
      </c>
      <c r="DJ76" s="159">
        <f>SUM(CE76,CI76,CJ76,CN76,CL76,CP76,CR76,CS76,CU76,CW76,CY76,DA76,DB76,DD76,DF76,DH76)</f>
        <v>3510</v>
      </c>
      <c r="DK76" s="260">
        <f>SUM(CF76+CI76-CK76-CO76+CR76-CT76-CX76+DA76-DC76-DG76)</f>
        <v>0</v>
      </c>
      <c r="DL76" s="260">
        <f>SUM(DJ76-DK76)</f>
        <v>3510</v>
      </c>
      <c r="DM76" s="160">
        <f>SUM(DI76)</f>
        <v>0</v>
      </c>
      <c r="DN76" s="84"/>
      <c r="DO76" s="80"/>
      <c r="DP76" s="80"/>
      <c r="DQ76" s="80"/>
      <c r="DR76" s="80"/>
      <c r="DS76" s="80"/>
      <c r="DT76" s="80"/>
    </row>
    <row r="77" spans="2:124" s="31" customFormat="1" ht="12.75">
      <c r="B77" s="109" t="s">
        <v>43</v>
      </c>
      <c r="C77" s="110"/>
      <c r="D77" s="111">
        <f>SUM(D76)</f>
        <v>0</v>
      </c>
      <c r="E77" s="112">
        <f aca="true" t="shared" si="117" ref="E77:AT77">SUM(E76)</f>
        <v>3510</v>
      </c>
      <c r="F77" s="112">
        <f t="shared" si="117"/>
        <v>0</v>
      </c>
      <c r="G77" s="112">
        <f t="shared" si="117"/>
        <v>0</v>
      </c>
      <c r="H77" s="113">
        <f t="shared" si="117"/>
        <v>3510</v>
      </c>
      <c r="I77" s="111">
        <f t="shared" si="117"/>
        <v>0</v>
      </c>
      <c r="J77" s="112">
        <f t="shared" si="117"/>
        <v>0</v>
      </c>
      <c r="K77" s="112">
        <f t="shared" si="117"/>
        <v>0</v>
      </c>
      <c r="L77" s="112">
        <f t="shared" si="117"/>
        <v>0</v>
      </c>
      <c r="M77" s="112">
        <f t="shared" si="117"/>
        <v>0</v>
      </c>
      <c r="N77" s="112">
        <f t="shared" si="117"/>
        <v>0</v>
      </c>
      <c r="O77" s="113">
        <f t="shared" si="117"/>
        <v>3510</v>
      </c>
      <c r="P77" s="111">
        <f t="shared" si="117"/>
        <v>3510</v>
      </c>
      <c r="Q77" s="112">
        <f t="shared" si="117"/>
        <v>0</v>
      </c>
      <c r="R77" s="113">
        <f t="shared" si="117"/>
        <v>3510</v>
      </c>
      <c r="S77" s="114">
        <f t="shared" si="117"/>
        <v>0</v>
      </c>
      <c r="T77" s="115">
        <f t="shared" si="117"/>
        <v>0</v>
      </c>
      <c r="U77" s="115">
        <f t="shared" si="117"/>
        <v>0</v>
      </c>
      <c r="V77" s="115">
        <f t="shared" si="117"/>
        <v>0</v>
      </c>
      <c r="W77" s="116">
        <f t="shared" si="117"/>
        <v>3510</v>
      </c>
      <c r="X77" s="114">
        <f t="shared" si="117"/>
        <v>0</v>
      </c>
      <c r="Y77" s="115">
        <f t="shared" si="117"/>
        <v>0</v>
      </c>
      <c r="Z77" s="115">
        <f t="shared" si="117"/>
        <v>0</v>
      </c>
      <c r="AA77" s="115">
        <f t="shared" si="117"/>
        <v>0</v>
      </c>
      <c r="AB77" s="116">
        <f t="shared" si="117"/>
        <v>3510</v>
      </c>
      <c r="AC77" s="114">
        <f t="shared" si="117"/>
        <v>0</v>
      </c>
      <c r="AD77" s="115">
        <f t="shared" si="117"/>
        <v>0</v>
      </c>
      <c r="AE77" s="115">
        <f t="shared" si="117"/>
        <v>0</v>
      </c>
      <c r="AF77" s="115">
        <f t="shared" si="117"/>
        <v>0</v>
      </c>
      <c r="AG77" s="115">
        <f t="shared" si="117"/>
        <v>3510</v>
      </c>
      <c r="AH77" s="114">
        <f t="shared" si="117"/>
        <v>0</v>
      </c>
      <c r="AI77" s="115">
        <f t="shared" si="117"/>
        <v>0</v>
      </c>
      <c r="AJ77" s="115">
        <f t="shared" si="117"/>
        <v>0</v>
      </c>
      <c r="AK77" s="115">
        <f t="shared" si="117"/>
        <v>0</v>
      </c>
      <c r="AL77" s="115">
        <f t="shared" si="117"/>
        <v>3510</v>
      </c>
      <c r="AM77" s="115">
        <f t="shared" si="117"/>
        <v>0</v>
      </c>
      <c r="AN77" s="115">
        <f t="shared" si="117"/>
        <v>0</v>
      </c>
      <c r="AO77" s="115">
        <f t="shared" si="117"/>
        <v>0</v>
      </c>
      <c r="AP77" s="116">
        <f t="shared" si="117"/>
        <v>0</v>
      </c>
      <c r="AQ77" s="114">
        <f t="shared" si="117"/>
        <v>3510</v>
      </c>
      <c r="AR77" s="115">
        <f t="shared" si="117"/>
        <v>0</v>
      </c>
      <c r="AS77" s="115">
        <f t="shared" si="117"/>
        <v>3510</v>
      </c>
      <c r="AT77" s="116">
        <f t="shared" si="117"/>
        <v>0</v>
      </c>
      <c r="AU77" s="114">
        <f aca="true" t="shared" si="118" ref="AU77:BC77">SUM(AU76)</f>
        <v>0</v>
      </c>
      <c r="AV77" s="115">
        <f t="shared" si="118"/>
        <v>0</v>
      </c>
      <c r="AW77" s="115">
        <f t="shared" si="118"/>
        <v>0</v>
      </c>
      <c r="AX77" s="115">
        <f t="shared" si="118"/>
        <v>0</v>
      </c>
      <c r="AY77" s="115">
        <f t="shared" si="118"/>
        <v>3510</v>
      </c>
      <c r="AZ77" s="115">
        <f t="shared" si="118"/>
        <v>0</v>
      </c>
      <c r="BA77" s="115">
        <f t="shared" si="118"/>
        <v>0</v>
      </c>
      <c r="BB77" s="115">
        <f t="shared" si="118"/>
        <v>0</v>
      </c>
      <c r="BC77" s="116">
        <f t="shared" si="118"/>
        <v>0</v>
      </c>
      <c r="BD77" s="265">
        <f aca="true" t="shared" si="119" ref="BD77:BL77">SUM(BD76)</f>
        <v>0</v>
      </c>
      <c r="BE77" s="267">
        <f t="shared" si="119"/>
        <v>0</v>
      </c>
      <c r="BF77" s="267">
        <f t="shared" si="119"/>
        <v>0</v>
      </c>
      <c r="BG77" s="267">
        <f t="shared" si="119"/>
        <v>0</v>
      </c>
      <c r="BH77" s="267">
        <f t="shared" si="119"/>
        <v>3510</v>
      </c>
      <c r="BI77" s="267">
        <f t="shared" si="119"/>
        <v>0</v>
      </c>
      <c r="BJ77" s="267">
        <f t="shared" si="119"/>
        <v>0</v>
      </c>
      <c r="BK77" s="267">
        <f t="shared" si="119"/>
        <v>0</v>
      </c>
      <c r="BL77" s="158">
        <f t="shared" si="119"/>
        <v>0</v>
      </c>
      <c r="BM77" s="265">
        <f aca="true" t="shared" si="120" ref="BM77:BU77">SUM(BM76)</f>
        <v>0</v>
      </c>
      <c r="BN77" s="267">
        <f t="shared" si="120"/>
        <v>0</v>
      </c>
      <c r="BO77" s="267">
        <f t="shared" si="120"/>
        <v>0</v>
      </c>
      <c r="BP77" s="267">
        <f t="shared" si="120"/>
        <v>0</v>
      </c>
      <c r="BQ77" s="267">
        <f t="shared" si="120"/>
        <v>3510</v>
      </c>
      <c r="BR77" s="267">
        <f t="shared" si="120"/>
        <v>0</v>
      </c>
      <c r="BS77" s="267">
        <f t="shared" si="120"/>
        <v>0</v>
      </c>
      <c r="BT77" s="267">
        <f t="shared" si="120"/>
        <v>0</v>
      </c>
      <c r="BU77" s="158">
        <f t="shared" si="120"/>
        <v>0</v>
      </c>
      <c r="BV77" s="265">
        <f aca="true" t="shared" si="121" ref="BV77:CD77">SUM(BV76)</f>
        <v>0</v>
      </c>
      <c r="BW77" s="267">
        <f t="shared" si="121"/>
        <v>0</v>
      </c>
      <c r="BX77" s="267">
        <f t="shared" si="121"/>
        <v>0</v>
      </c>
      <c r="BY77" s="267">
        <f t="shared" si="121"/>
        <v>0</v>
      </c>
      <c r="BZ77" s="267">
        <f t="shared" si="121"/>
        <v>3510</v>
      </c>
      <c r="CA77" s="267">
        <f t="shared" si="121"/>
        <v>0</v>
      </c>
      <c r="CB77" s="267">
        <f t="shared" si="121"/>
        <v>0</v>
      </c>
      <c r="CC77" s="267">
        <f t="shared" si="121"/>
        <v>0</v>
      </c>
      <c r="CD77" s="158">
        <f t="shared" si="121"/>
        <v>0</v>
      </c>
      <c r="CE77" s="265">
        <f>SUM(CE76)</f>
        <v>3510</v>
      </c>
      <c r="CF77" s="267">
        <f>SUM(CF76)</f>
        <v>0</v>
      </c>
      <c r="CG77" s="267">
        <f>SUM(CG76)</f>
        <v>3510</v>
      </c>
      <c r="CH77" s="158">
        <f>SUM(CH76)</f>
        <v>0</v>
      </c>
      <c r="CI77" s="265">
        <f aca="true" t="shared" si="122" ref="CI77:CQ77">SUM(CI76)</f>
        <v>0</v>
      </c>
      <c r="CJ77" s="267">
        <f t="shared" si="122"/>
        <v>0</v>
      </c>
      <c r="CK77" s="267">
        <f t="shared" si="122"/>
        <v>0</v>
      </c>
      <c r="CL77" s="267">
        <f t="shared" si="122"/>
        <v>0</v>
      </c>
      <c r="CM77" s="267">
        <f t="shared" si="122"/>
        <v>3510</v>
      </c>
      <c r="CN77" s="267">
        <f t="shared" si="122"/>
        <v>0</v>
      </c>
      <c r="CO77" s="267">
        <f t="shared" si="122"/>
        <v>0</v>
      </c>
      <c r="CP77" s="267">
        <f t="shared" si="122"/>
        <v>0</v>
      </c>
      <c r="CQ77" s="158">
        <f t="shared" si="122"/>
        <v>0</v>
      </c>
      <c r="CR77" s="265">
        <f aca="true" t="shared" si="123" ref="CR77:CZ77">SUM(CR76)</f>
        <v>0</v>
      </c>
      <c r="CS77" s="267">
        <f t="shared" si="123"/>
        <v>0</v>
      </c>
      <c r="CT77" s="267">
        <f t="shared" si="123"/>
        <v>0</v>
      </c>
      <c r="CU77" s="267">
        <f t="shared" si="123"/>
        <v>0</v>
      </c>
      <c r="CV77" s="267">
        <f t="shared" si="123"/>
        <v>0</v>
      </c>
      <c r="CW77" s="267">
        <f t="shared" si="123"/>
        <v>0</v>
      </c>
      <c r="CX77" s="267">
        <f t="shared" si="123"/>
        <v>0</v>
      </c>
      <c r="CY77" s="267">
        <f t="shared" si="123"/>
        <v>0</v>
      </c>
      <c r="CZ77" s="158">
        <f t="shared" si="123"/>
        <v>0</v>
      </c>
      <c r="DA77" s="265">
        <f aca="true" t="shared" si="124" ref="DA77:DI77">SUM(DA76)</f>
        <v>0</v>
      </c>
      <c r="DB77" s="267">
        <f t="shared" si="124"/>
        <v>0</v>
      </c>
      <c r="DC77" s="267">
        <f t="shared" si="124"/>
        <v>0</v>
      </c>
      <c r="DD77" s="267">
        <f t="shared" si="124"/>
        <v>0</v>
      </c>
      <c r="DE77" s="267">
        <f t="shared" si="124"/>
        <v>0</v>
      </c>
      <c r="DF77" s="267">
        <f t="shared" si="124"/>
        <v>0</v>
      </c>
      <c r="DG77" s="267">
        <f t="shared" si="124"/>
        <v>0</v>
      </c>
      <c r="DH77" s="267">
        <f t="shared" si="124"/>
        <v>0</v>
      </c>
      <c r="DI77" s="158">
        <f t="shared" si="124"/>
        <v>0</v>
      </c>
      <c r="DJ77" s="275">
        <f>SUM(DJ76)</f>
        <v>3510</v>
      </c>
      <c r="DK77" s="266">
        <f>SUM(DK76)</f>
        <v>0</v>
      </c>
      <c r="DL77" s="266">
        <f>SUM(DL76)</f>
        <v>3510</v>
      </c>
      <c r="DM77" s="316">
        <f>SUM(DM76)</f>
        <v>0</v>
      </c>
      <c r="DN77" s="84"/>
      <c r="DO77" s="30"/>
      <c r="DP77" s="30"/>
      <c r="DQ77" s="30"/>
      <c r="DR77" s="30"/>
      <c r="DS77" s="30"/>
      <c r="DT77" s="30"/>
    </row>
    <row r="78" spans="2:124" s="32" customFormat="1" ht="4.5" customHeight="1">
      <c r="B78" s="11"/>
      <c r="D78" s="29"/>
      <c r="E78" s="27"/>
      <c r="F78" s="13"/>
      <c r="G78" s="13"/>
      <c r="H78" s="14"/>
      <c r="I78" s="12"/>
      <c r="J78" s="13"/>
      <c r="K78" s="13"/>
      <c r="L78" s="13"/>
      <c r="M78" s="13"/>
      <c r="N78" s="13"/>
      <c r="O78" s="14"/>
      <c r="P78" s="12"/>
      <c r="Q78" s="13"/>
      <c r="R78" s="34"/>
      <c r="S78" s="54"/>
      <c r="T78" s="55"/>
      <c r="U78" s="55"/>
      <c r="V78" s="55"/>
      <c r="W78" s="56"/>
      <c r="X78" s="54"/>
      <c r="Y78" s="55"/>
      <c r="Z78" s="55"/>
      <c r="AA78" s="55"/>
      <c r="AB78" s="56"/>
      <c r="AC78" s="54"/>
      <c r="AD78" s="55"/>
      <c r="AE78" s="55"/>
      <c r="AF78" s="55"/>
      <c r="AG78" s="93"/>
      <c r="AH78" s="94"/>
      <c r="AI78" s="93"/>
      <c r="AJ78" s="93"/>
      <c r="AK78" s="93"/>
      <c r="AL78" s="93"/>
      <c r="AM78" s="93"/>
      <c r="AN78" s="93"/>
      <c r="AO78" s="93"/>
      <c r="AP78" s="56"/>
      <c r="AQ78" s="57"/>
      <c r="AR78" s="58"/>
      <c r="AS78" s="58"/>
      <c r="AT78" s="66"/>
      <c r="AU78" s="94"/>
      <c r="AV78" s="93"/>
      <c r="AW78" s="93"/>
      <c r="AX78" s="93"/>
      <c r="AY78" s="93"/>
      <c r="AZ78" s="93"/>
      <c r="BA78" s="93"/>
      <c r="BB78" s="93"/>
      <c r="BC78" s="56"/>
      <c r="BD78" s="268"/>
      <c r="BE78" s="269"/>
      <c r="BF78" s="269"/>
      <c r="BG78" s="269"/>
      <c r="BH78" s="269"/>
      <c r="BI78" s="269"/>
      <c r="BJ78" s="269"/>
      <c r="BK78" s="269"/>
      <c r="BL78" s="270"/>
      <c r="BM78" s="268"/>
      <c r="BN78" s="269"/>
      <c r="BO78" s="269"/>
      <c r="BP78" s="269"/>
      <c r="BQ78" s="269"/>
      <c r="BR78" s="269"/>
      <c r="BS78" s="269"/>
      <c r="BT78" s="269"/>
      <c r="BU78" s="270"/>
      <c r="BV78" s="268"/>
      <c r="BW78" s="269"/>
      <c r="BX78" s="269"/>
      <c r="BY78" s="269"/>
      <c r="BZ78" s="269"/>
      <c r="CA78" s="269"/>
      <c r="CB78" s="269"/>
      <c r="CC78" s="269"/>
      <c r="CD78" s="270"/>
      <c r="CE78" s="257"/>
      <c r="CF78" s="157"/>
      <c r="CG78" s="157"/>
      <c r="CH78" s="317"/>
      <c r="CI78" s="268"/>
      <c r="CJ78" s="269"/>
      <c r="CK78" s="269"/>
      <c r="CL78" s="269"/>
      <c r="CM78" s="269"/>
      <c r="CN78" s="269"/>
      <c r="CO78" s="269"/>
      <c r="CP78" s="269"/>
      <c r="CQ78" s="270"/>
      <c r="CR78" s="268"/>
      <c r="CS78" s="269"/>
      <c r="CT78" s="269"/>
      <c r="CU78" s="269"/>
      <c r="CV78" s="269"/>
      <c r="CW78" s="269"/>
      <c r="CX78" s="269"/>
      <c r="CY78" s="269"/>
      <c r="CZ78" s="270"/>
      <c r="DA78" s="268"/>
      <c r="DB78" s="269"/>
      <c r="DC78" s="269"/>
      <c r="DD78" s="269"/>
      <c r="DE78" s="269"/>
      <c r="DF78" s="269"/>
      <c r="DG78" s="269"/>
      <c r="DH78" s="269"/>
      <c r="DI78" s="270"/>
      <c r="DJ78" s="159"/>
      <c r="DK78" s="260"/>
      <c r="DL78" s="260"/>
      <c r="DM78" s="160"/>
      <c r="DN78" s="84"/>
      <c r="DO78" s="80"/>
      <c r="DP78" s="80"/>
      <c r="DQ78" s="80"/>
      <c r="DR78" s="80"/>
      <c r="DS78" s="80"/>
      <c r="DT78" s="80"/>
    </row>
    <row r="79" spans="2:124" s="71" customFormat="1" ht="12.75">
      <c r="B79" s="68" t="s">
        <v>62</v>
      </c>
      <c r="C79" s="341" t="s">
        <v>115</v>
      </c>
      <c r="D79" s="29">
        <f>340.2-18.783-1.4</f>
        <v>320.017</v>
      </c>
      <c r="E79" s="27">
        <v>0</v>
      </c>
      <c r="F79" s="58">
        <v>0</v>
      </c>
      <c r="G79" s="58">
        <v>0</v>
      </c>
      <c r="H79" s="59">
        <v>0</v>
      </c>
      <c r="I79" s="57">
        <f>426.881-61.557</f>
        <v>365.32399999999996</v>
      </c>
      <c r="J79" s="58">
        <v>0</v>
      </c>
      <c r="K79" s="58">
        <v>0</v>
      </c>
      <c r="L79" s="58">
        <v>0</v>
      </c>
      <c r="M79" s="58">
        <v>0</v>
      </c>
      <c r="N79" s="58">
        <v>0</v>
      </c>
      <c r="O79" s="59">
        <v>0</v>
      </c>
      <c r="P79" s="57">
        <f>SUM(D79,E79,I79,J79)</f>
        <v>685.3409999999999</v>
      </c>
      <c r="Q79" s="58">
        <f>SUM(D79,I79)+SUM(F79,K79,M79)*-1</f>
        <v>685.3409999999999</v>
      </c>
      <c r="R79" s="66">
        <f>SUM(P79-Q79)</f>
        <v>0</v>
      </c>
      <c r="S79" s="57">
        <f>66.6-13.535</f>
        <v>53.065</v>
      </c>
      <c r="T79" s="58">
        <v>0</v>
      </c>
      <c r="U79" s="58">
        <v>0</v>
      </c>
      <c r="V79" s="58">
        <v>0</v>
      </c>
      <c r="W79" s="59">
        <v>0</v>
      </c>
      <c r="X79" s="57">
        <f>62.16-11.768</f>
        <v>50.391999999999996</v>
      </c>
      <c r="Y79" s="58">
        <v>0</v>
      </c>
      <c r="Z79" s="58">
        <v>0</v>
      </c>
      <c r="AA79" s="58">
        <v>0</v>
      </c>
      <c r="AB79" s="59">
        <v>0</v>
      </c>
      <c r="AC79" s="57">
        <f>65.93-10.471+0.4</f>
        <v>55.859</v>
      </c>
      <c r="AD79" s="58">
        <v>0</v>
      </c>
      <c r="AE79" s="58">
        <v>0</v>
      </c>
      <c r="AF79" s="58">
        <v>0</v>
      </c>
      <c r="AG79" s="70">
        <v>0</v>
      </c>
      <c r="AH79" s="29">
        <f>56.3+2.121-1.1-AH22-11.517+0.2</f>
        <v>39.784000000000006</v>
      </c>
      <c r="AI79" s="58">
        <v>0</v>
      </c>
      <c r="AJ79" s="58">
        <v>0</v>
      </c>
      <c r="AK79" s="58">
        <v>0</v>
      </c>
      <c r="AL79" s="70">
        <v>0</v>
      </c>
      <c r="AM79" s="58">
        <v>0</v>
      </c>
      <c r="AN79" s="58">
        <v>0</v>
      </c>
      <c r="AO79" s="58">
        <v>0</v>
      </c>
      <c r="AP79" s="59">
        <v>0</v>
      </c>
      <c r="AQ79" s="57">
        <f>SUM(P79,S79,T79,V79,X79,Y79,AA79,AC79,AD79,AF79,AH79,AI79,AK79,AM79,AO79)</f>
        <v>884.441</v>
      </c>
      <c r="AR79" s="58">
        <f>SUM(Q79)+(S79+X79+AC79+AH79)+SUM((U79+Z79+AE79+AJ79+AN79)*-1)</f>
        <v>884.4409999999999</v>
      </c>
      <c r="AS79" s="58">
        <f>SUM(AQ79-AR79)</f>
        <v>1.1368683772161603E-13</v>
      </c>
      <c r="AT79" s="92">
        <f>SUM(AP79)</f>
        <v>0</v>
      </c>
      <c r="AU79" s="29">
        <f>25.353+0.6+5.594-9.466</f>
        <v>22.081000000000003</v>
      </c>
      <c r="AV79" s="58">
        <v>0</v>
      </c>
      <c r="AW79" s="58">
        <v>0</v>
      </c>
      <c r="AX79" s="58">
        <v>0</v>
      </c>
      <c r="AY79" s="70">
        <v>0</v>
      </c>
      <c r="AZ79" s="58">
        <v>0</v>
      </c>
      <c r="BA79" s="58">
        <v>0</v>
      </c>
      <c r="BB79" s="58">
        <v>0</v>
      </c>
      <c r="BC79" s="59">
        <v>0</v>
      </c>
      <c r="BD79" s="159">
        <f>38.889-6.945-0.3</f>
        <v>31.644000000000002</v>
      </c>
      <c r="BE79" s="157">
        <v>0</v>
      </c>
      <c r="BF79" s="157">
        <v>0</v>
      </c>
      <c r="BG79" s="157">
        <v>0</v>
      </c>
      <c r="BH79" s="258">
        <f>SUM(AY79,BE79:BG79)</f>
        <v>0</v>
      </c>
      <c r="BI79" s="157">
        <v>0</v>
      </c>
      <c r="BJ79" s="157">
        <v>0</v>
      </c>
      <c r="BK79" s="157">
        <v>0</v>
      </c>
      <c r="BL79" s="259">
        <v>0</v>
      </c>
      <c r="BM79" s="159">
        <f>28.107-6.506</f>
        <v>21.601</v>
      </c>
      <c r="BN79" s="157">
        <v>0</v>
      </c>
      <c r="BO79" s="157">
        <v>0</v>
      </c>
      <c r="BP79" s="157">
        <v>0</v>
      </c>
      <c r="BQ79" s="258">
        <f>SUM(BH79,BN79:BP79)</f>
        <v>0</v>
      </c>
      <c r="BR79" s="157">
        <v>0</v>
      </c>
      <c r="BS79" s="157">
        <v>0</v>
      </c>
      <c r="BT79" s="157">
        <v>0</v>
      </c>
      <c r="BU79" s="259">
        <v>0</v>
      </c>
      <c r="BV79" s="159">
        <f>32.813-5.361</f>
        <v>27.452</v>
      </c>
      <c r="BW79" s="260">
        <v>0</v>
      </c>
      <c r="BX79" s="260">
        <v>0</v>
      </c>
      <c r="BY79" s="260">
        <v>0</v>
      </c>
      <c r="BZ79" s="284">
        <f>SUM(BQ79,BW79:BY79)</f>
        <v>0</v>
      </c>
      <c r="CA79" s="260">
        <v>0</v>
      </c>
      <c r="CB79" s="260">
        <v>0</v>
      </c>
      <c r="CC79" s="260">
        <v>0</v>
      </c>
      <c r="CD79" s="162">
        <v>0</v>
      </c>
      <c r="CE79" s="257">
        <f>SUM(AQ79,AU79,AV79,AX79,BD79,BE79,BG79,BM79,BV79)</f>
        <v>987.219</v>
      </c>
      <c r="CF79" s="157">
        <f>SUM(AR79+AU79+BD79,BM79,BV79)</f>
        <v>987.2189999999999</v>
      </c>
      <c r="CG79" s="157">
        <f>SUM(CE79-CF79)</f>
        <v>1.1368683772161603E-13</v>
      </c>
      <c r="CH79" s="160">
        <f>SUM(BC79)</f>
        <v>0</v>
      </c>
      <c r="CI79" s="159">
        <f>28.068-2.882</f>
        <v>25.186</v>
      </c>
      <c r="CJ79" s="260">
        <v>0</v>
      </c>
      <c r="CK79" s="260">
        <v>0</v>
      </c>
      <c r="CL79" s="260">
        <v>0</v>
      </c>
      <c r="CM79" s="284">
        <f>SUM(CG79,CJ79,CK79,CL79)</f>
        <v>1.1368683772161603E-13</v>
      </c>
      <c r="CN79" s="260">
        <v>0</v>
      </c>
      <c r="CO79" s="260">
        <v>0</v>
      </c>
      <c r="CP79" s="260">
        <v>0</v>
      </c>
      <c r="CQ79" s="162">
        <v>0</v>
      </c>
      <c r="CR79" s="159">
        <v>186.004</v>
      </c>
      <c r="CS79" s="260">
        <v>0</v>
      </c>
      <c r="CT79" s="260">
        <v>0</v>
      </c>
      <c r="CU79" s="260">
        <v>0</v>
      </c>
      <c r="CV79" s="284">
        <f>SUM(CP79,CS79,CT79,CU79)</f>
        <v>0</v>
      </c>
      <c r="CW79" s="260">
        <v>0</v>
      </c>
      <c r="CX79" s="260">
        <v>0</v>
      </c>
      <c r="CY79" s="260">
        <v>0</v>
      </c>
      <c r="CZ79" s="162">
        <v>0</v>
      </c>
      <c r="DA79" s="159">
        <v>26.928</v>
      </c>
      <c r="DB79" s="260">
        <v>0</v>
      </c>
      <c r="DC79" s="260">
        <v>0</v>
      </c>
      <c r="DD79" s="260">
        <v>0</v>
      </c>
      <c r="DE79" s="284">
        <f>SUM(CY79,DB79,DC79,DD79)</f>
        <v>0</v>
      </c>
      <c r="DF79" s="260">
        <v>0</v>
      </c>
      <c r="DG79" s="260">
        <v>0</v>
      </c>
      <c r="DH79" s="260">
        <v>0</v>
      </c>
      <c r="DI79" s="162">
        <v>0</v>
      </c>
      <c r="DJ79" s="159">
        <f>SUM(CE79,CI79,CJ79,CN79,CL79,CP79,CR79,CS79,CU79,CW79,CY79,DA79,DB79,DD79,DF79,DH79)</f>
        <v>1225.3370000000002</v>
      </c>
      <c r="DK79" s="260">
        <f>SUM(CF79+CI79-CK79-CO79+CR79-CT79-CX79+DA79-DC79-DG79)</f>
        <v>1225.337</v>
      </c>
      <c r="DL79" s="260">
        <f>SUM(DJ79-DK79)</f>
        <v>2.2737367544323206E-13</v>
      </c>
      <c r="DM79" s="160">
        <f>SUM(DI79)</f>
        <v>0</v>
      </c>
      <c r="DN79" s="97"/>
      <c r="DO79" s="96"/>
      <c r="DP79" s="96"/>
      <c r="DQ79" s="96"/>
      <c r="DR79" s="96"/>
      <c r="DS79" s="96"/>
      <c r="DT79" s="96"/>
    </row>
    <row r="80" spans="2:124" s="31" customFormat="1" ht="12.75">
      <c r="B80" s="109" t="s">
        <v>44</v>
      </c>
      <c r="C80" s="129"/>
      <c r="D80" s="111">
        <f aca="true" t="shared" si="125" ref="D80:O80">SUM(D79:D79)</f>
        <v>320.017</v>
      </c>
      <c r="E80" s="112">
        <f t="shared" si="125"/>
        <v>0</v>
      </c>
      <c r="F80" s="112">
        <f t="shared" si="125"/>
        <v>0</v>
      </c>
      <c r="G80" s="112">
        <f t="shared" si="125"/>
        <v>0</v>
      </c>
      <c r="H80" s="113">
        <f t="shared" si="125"/>
        <v>0</v>
      </c>
      <c r="I80" s="111">
        <f t="shared" si="125"/>
        <v>365.32399999999996</v>
      </c>
      <c r="J80" s="112">
        <f t="shared" si="125"/>
        <v>0</v>
      </c>
      <c r="K80" s="112">
        <f t="shared" si="125"/>
        <v>0</v>
      </c>
      <c r="L80" s="112">
        <f t="shared" si="125"/>
        <v>0</v>
      </c>
      <c r="M80" s="112">
        <f t="shared" si="125"/>
        <v>0</v>
      </c>
      <c r="N80" s="112">
        <f t="shared" si="125"/>
        <v>0</v>
      </c>
      <c r="O80" s="113">
        <f t="shared" si="125"/>
        <v>0</v>
      </c>
      <c r="P80" s="111">
        <f>SUM(D80,E80,I80,J80)</f>
        <v>685.3409999999999</v>
      </c>
      <c r="Q80" s="112">
        <f>SUM(D80,I80)+SUM(F80,K80,M80)*-1</f>
        <v>685.3409999999999</v>
      </c>
      <c r="R80" s="113">
        <f>SUM(P80-Q80)</f>
        <v>0</v>
      </c>
      <c r="S80" s="111">
        <f aca="true" t="shared" si="126" ref="S80:AP80">SUM(S79:S79)</f>
        <v>53.065</v>
      </c>
      <c r="T80" s="115">
        <f t="shared" si="126"/>
        <v>0</v>
      </c>
      <c r="U80" s="115">
        <f t="shared" si="126"/>
        <v>0</v>
      </c>
      <c r="V80" s="115">
        <f t="shared" si="126"/>
        <v>0</v>
      </c>
      <c r="W80" s="116">
        <f t="shared" si="126"/>
        <v>0</v>
      </c>
      <c r="X80" s="111">
        <f t="shared" si="126"/>
        <v>50.391999999999996</v>
      </c>
      <c r="Y80" s="115">
        <f t="shared" si="126"/>
        <v>0</v>
      </c>
      <c r="Z80" s="115">
        <f t="shared" si="126"/>
        <v>0</v>
      </c>
      <c r="AA80" s="115">
        <f t="shared" si="126"/>
        <v>0</v>
      </c>
      <c r="AB80" s="116">
        <f t="shared" si="126"/>
        <v>0</v>
      </c>
      <c r="AC80" s="111">
        <f t="shared" si="126"/>
        <v>55.859</v>
      </c>
      <c r="AD80" s="115">
        <f t="shared" si="126"/>
        <v>0</v>
      </c>
      <c r="AE80" s="115">
        <f t="shared" si="126"/>
        <v>0</v>
      </c>
      <c r="AF80" s="115">
        <f t="shared" si="126"/>
        <v>0</v>
      </c>
      <c r="AG80" s="115">
        <f t="shared" si="126"/>
        <v>0</v>
      </c>
      <c r="AH80" s="111">
        <f t="shared" si="126"/>
        <v>39.784000000000006</v>
      </c>
      <c r="AI80" s="115">
        <f t="shared" si="126"/>
        <v>0</v>
      </c>
      <c r="AJ80" s="115">
        <f t="shared" si="126"/>
        <v>0</v>
      </c>
      <c r="AK80" s="115">
        <f t="shared" si="126"/>
        <v>0</v>
      </c>
      <c r="AL80" s="115">
        <f t="shared" si="126"/>
        <v>0</v>
      </c>
      <c r="AM80" s="112">
        <f t="shared" si="126"/>
        <v>0</v>
      </c>
      <c r="AN80" s="112">
        <f t="shared" si="126"/>
        <v>0</v>
      </c>
      <c r="AO80" s="112">
        <f t="shared" si="126"/>
        <v>0</v>
      </c>
      <c r="AP80" s="116">
        <f t="shared" si="126"/>
        <v>0</v>
      </c>
      <c r="AQ80" s="114">
        <f>SUM(P80,S80,T80,V80,X80,Y80,AA80,AC80,AD80,AF80,AH80,AI80,AK80)</f>
        <v>884.441</v>
      </c>
      <c r="AR80" s="115">
        <f>SUM(AQ80)</f>
        <v>884.441</v>
      </c>
      <c r="AS80" s="115">
        <f>SUM(AQ80-AR80)</f>
        <v>0</v>
      </c>
      <c r="AT80" s="116">
        <v>0</v>
      </c>
      <c r="AU80" s="111">
        <f aca="true" t="shared" si="127" ref="AU80:BC80">SUM(AU79:AU79)</f>
        <v>22.081000000000003</v>
      </c>
      <c r="AV80" s="115">
        <f t="shared" si="127"/>
        <v>0</v>
      </c>
      <c r="AW80" s="115">
        <f t="shared" si="127"/>
        <v>0</v>
      </c>
      <c r="AX80" s="115">
        <f t="shared" si="127"/>
        <v>0</v>
      </c>
      <c r="AY80" s="115">
        <f t="shared" si="127"/>
        <v>0</v>
      </c>
      <c r="AZ80" s="112">
        <f t="shared" si="127"/>
        <v>0</v>
      </c>
      <c r="BA80" s="112">
        <f t="shared" si="127"/>
        <v>0</v>
      </c>
      <c r="BB80" s="112">
        <f t="shared" si="127"/>
        <v>0</v>
      </c>
      <c r="BC80" s="116">
        <f t="shared" si="127"/>
        <v>0</v>
      </c>
      <c r="BD80" s="275">
        <f aca="true" t="shared" si="128" ref="BD80:BL80">SUM(BD79:BD79)</f>
        <v>31.644000000000002</v>
      </c>
      <c r="BE80" s="267">
        <f t="shared" si="128"/>
        <v>0</v>
      </c>
      <c r="BF80" s="267">
        <f t="shared" si="128"/>
        <v>0</v>
      </c>
      <c r="BG80" s="267">
        <f t="shared" si="128"/>
        <v>0</v>
      </c>
      <c r="BH80" s="267">
        <f t="shared" si="128"/>
        <v>0</v>
      </c>
      <c r="BI80" s="266">
        <f t="shared" si="128"/>
        <v>0</v>
      </c>
      <c r="BJ80" s="266">
        <f t="shared" si="128"/>
        <v>0</v>
      </c>
      <c r="BK80" s="266">
        <f t="shared" si="128"/>
        <v>0</v>
      </c>
      <c r="BL80" s="158">
        <f t="shared" si="128"/>
        <v>0</v>
      </c>
      <c r="BM80" s="275">
        <f aca="true" t="shared" si="129" ref="BM80:BU80">SUM(BM79:BM79)</f>
        <v>21.601</v>
      </c>
      <c r="BN80" s="267">
        <f t="shared" si="129"/>
        <v>0</v>
      </c>
      <c r="BO80" s="267">
        <f t="shared" si="129"/>
        <v>0</v>
      </c>
      <c r="BP80" s="267">
        <f t="shared" si="129"/>
        <v>0</v>
      </c>
      <c r="BQ80" s="267">
        <f t="shared" si="129"/>
        <v>0</v>
      </c>
      <c r="BR80" s="266">
        <f t="shared" si="129"/>
        <v>0</v>
      </c>
      <c r="BS80" s="266">
        <f t="shared" si="129"/>
        <v>0</v>
      </c>
      <c r="BT80" s="266">
        <f t="shared" si="129"/>
        <v>0</v>
      </c>
      <c r="BU80" s="158">
        <f t="shared" si="129"/>
        <v>0</v>
      </c>
      <c r="BV80" s="275">
        <f aca="true" t="shared" si="130" ref="BV80:CD80">SUM(BV79:BV79)</f>
        <v>27.452</v>
      </c>
      <c r="BW80" s="267">
        <f t="shared" si="130"/>
        <v>0</v>
      </c>
      <c r="BX80" s="267">
        <f t="shared" si="130"/>
        <v>0</v>
      </c>
      <c r="BY80" s="267">
        <f t="shared" si="130"/>
        <v>0</v>
      </c>
      <c r="BZ80" s="267">
        <f t="shared" si="130"/>
        <v>0</v>
      </c>
      <c r="CA80" s="266">
        <f t="shared" si="130"/>
        <v>0</v>
      </c>
      <c r="CB80" s="266">
        <f t="shared" si="130"/>
        <v>0</v>
      </c>
      <c r="CC80" s="266">
        <f t="shared" si="130"/>
        <v>0</v>
      </c>
      <c r="CD80" s="158">
        <f t="shared" si="130"/>
        <v>0</v>
      </c>
      <c r="CE80" s="265">
        <f>SUM(CE79)</f>
        <v>987.219</v>
      </c>
      <c r="CF80" s="267">
        <f>SUM(CE80)</f>
        <v>987.219</v>
      </c>
      <c r="CG80" s="267">
        <f>SUM(CE80-CF80)</f>
        <v>0</v>
      </c>
      <c r="CH80" s="158">
        <v>0</v>
      </c>
      <c r="CI80" s="275">
        <f aca="true" t="shared" si="131" ref="CI80:CQ80">SUM(CI79:CI79)</f>
        <v>25.186</v>
      </c>
      <c r="CJ80" s="267">
        <f t="shared" si="131"/>
        <v>0</v>
      </c>
      <c r="CK80" s="267">
        <f t="shared" si="131"/>
        <v>0</v>
      </c>
      <c r="CL80" s="267">
        <f t="shared" si="131"/>
        <v>0</v>
      </c>
      <c r="CM80" s="267">
        <f t="shared" si="131"/>
        <v>1.1368683772161603E-13</v>
      </c>
      <c r="CN80" s="266">
        <f t="shared" si="131"/>
        <v>0</v>
      </c>
      <c r="CO80" s="266">
        <f t="shared" si="131"/>
        <v>0</v>
      </c>
      <c r="CP80" s="266">
        <f t="shared" si="131"/>
        <v>0</v>
      </c>
      <c r="CQ80" s="158">
        <f t="shared" si="131"/>
        <v>0</v>
      </c>
      <c r="CR80" s="275">
        <f aca="true" t="shared" si="132" ref="CR80:CZ80">SUM(CR79:CR79)</f>
        <v>186.004</v>
      </c>
      <c r="CS80" s="267">
        <f t="shared" si="132"/>
        <v>0</v>
      </c>
      <c r="CT80" s="267">
        <f t="shared" si="132"/>
        <v>0</v>
      </c>
      <c r="CU80" s="267">
        <f t="shared" si="132"/>
        <v>0</v>
      </c>
      <c r="CV80" s="267">
        <f t="shared" si="132"/>
        <v>0</v>
      </c>
      <c r="CW80" s="266">
        <f t="shared" si="132"/>
        <v>0</v>
      </c>
      <c r="CX80" s="266">
        <f t="shared" si="132"/>
        <v>0</v>
      </c>
      <c r="CY80" s="266">
        <f t="shared" si="132"/>
        <v>0</v>
      </c>
      <c r="CZ80" s="158">
        <f t="shared" si="132"/>
        <v>0</v>
      </c>
      <c r="DA80" s="275">
        <f aca="true" t="shared" si="133" ref="DA80:DI80">SUM(DA79:DA79)</f>
        <v>26.928</v>
      </c>
      <c r="DB80" s="267">
        <f t="shared" si="133"/>
        <v>0</v>
      </c>
      <c r="DC80" s="267">
        <f t="shared" si="133"/>
        <v>0</v>
      </c>
      <c r="DD80" s="267">
        <f t="shared" si="133"/>
        <v>0</v>
      </c>
      <c r="DE80" s="267">
        <f t="shared" si="133"/>
        <v>0</v>
      </c>
      <c r="DF80" s="266">
        <f t="shared" si="133"/>
        <v>0</v>
      </c>
      <c r="DG80" s="266">
        <f t="shared" si="133"/>
        <v>0</v>
      </c>
      <c r="DH80" s="266">
        <f t="shared" si="133"/>
        <v>0</v>
      </c>
      <c r="DI80" s="158">
        <f t="shared" si="133"/>
        <v>0</v>
      </c>
      <c r="DJ80" s="275">
        <f>SUM(DJ79)</f>
        <v>1225.3370000000002</v>
      </c>
      <c r="DK80" s="266">
        <f>SUM(DJ80)</f>
        <v>1225.3370000000002</v>
      </c>
      <c r="DL80" s="266">
        <f>SUM(DJ80-DK80)</f>
        <v>0</v>
      </c>
      <c r="DM80" s="316">
        <v>0</v>
      </c>
      <c r="DN80" s="84"/>
      <c r="DO80" s="30"/>
      <c r="DP80" s="30"/>
      <c r="DQ80" s="30"/>
      <c r="DR80" s="30"/>
      <c r="DS80" s="30"/>
      <c r="DT80" s="30"/>
    </row>
    <row r="81" spans="2:124" s="32" customFormat="1" ht="12.75">
      <c r="B81" s="11"/>
      <c r="D81" s="29"/>
      <c r="E81" s="27"/>
      <c r="F81" s="13"/>
      <c r="G81" s="13"/>
      <c r="H81" s="14"/>
      <c r="I81" s="12"/>
      <c r="J81" s="13"/>
      <c r="K81" s="13"/>
      <c r="L81" s="13"/>
      <c r="M81" s="13"/>
      <c r="N81" s="13"/>
      <c r="O81" s="14"/>
      <c r="P81" s="12"/>
      <c r="Q81" s="13"/>
      <c r="R81" s="34"/>
      <c r="S81" s="54"/>
      <c r="T81" s="55"/>
      <c r="U81" s="55"/>
      <c r="V81" s="55"/>
      <c r="W81" s="56"/>
      <c r="X81" s="54"/>
      <c r="Y81" s="55"/>
      <c r="Z81" s="55"/>
      <c r="AA81" s="55"/>
      <c r="AB81" s="56"/>
      <c r="AC81" s="54"/>
      <c r="AD81" s="55"/>
      <c r="AE81" s="55"/>
      <c r="AF81" s="55"/>
      <c r="AG81" s="93"/>
      <c r="AH81" s="94"/>
      <c r="AI81" s="93"/>
      <c r="AJ81" s="93"/>
      <c r="AK81" s="93"/>
      <c r="AL81" s="93"/>
      <c r="AM81" s="93"/>
      <c r="AN81" s="93"/>
      <c r="AO81" s="93"/>
      <c r="AP81" s="56"/>
      <c r="AQ81" s="57"/>
      <c r="AR81" s="58"/>
      <c r="AS81" s="58"/>
      <c r="AT81" s="66"/>
      <c r="AU81" s="94"/>
      <c r="AV81" s="93"/>
      <c r="AW81" s="93"/>
      <c r="AX81" s="93"/>
      <c r="AY81" s="93"/>
      <c r="AZ81" s="93"/>
      <c r="BA81" s="93"/>
      <c r="BB81" s="93"/>
      <c r="BC81" s="56"/>
      <c r="BD81" s="268"/>
      <c r="BE81" s="269"/>
      <c r="BF81" s="269"/>
      <c r="BG81" s="269"/>
      <c r="BH81" s="269"/>
      <c r="BI81" s="269"/>
      <c r="BJ81" s="269"/>
      <c r="BK81" s="269"/>
      <c r="BL81" s="270"/>
      <c r="BM81" s="268"/>
      <c r="BN81" s="269"/>
      <c r="BO81" s="269"/>
      <c r="BP81" s="269"/>
      <c r="BQ81" s="269"/>
      <c r="BR81" s="269"/>
      <c r="BS81" s="269"/>
      <c r="BT81" s="269"/>
      <c r="BU81" s="270"/>
      <c r="BV81" s="268"/>
      <c r="BW81" s="269"/>
      <c r="BX81" s="269"/>
      <c r="BY81" s="269"/>
      <c r="BZ81" s="269"/>
      <c r="CA81" s="269"/>
      <c r="CB81" s="269"/>
      <c r="CC81" s="269"/>
      <c r="CD81" s="270"/>
      <c r="CE81" s="257"/>
      <c r="CF81" s="157"/>
      <c r="CG81" s="157"/>
      <c r="CH81" s="317"/>
      <c r="CI81" s="268"/>
      <c r="CJ81" s="269"/>
      <c r="CK81" s="269"/>
      <c r="CL81" s="269"/>
      <c r="CM81" s="269"/>
      <c r="CN81" s="269"/>
      <c r="CO81" s="269"/>
      <c r="CP81" s="269"/>
      <c r="CQ81" s="270"/>
      <c r="CR81" s="268"/>
      <c r="CS81" s="269"/>
      <c r="CT81" s="269"/>
      <c r="CU81" s="269"/>
      <c r="CV81" s="269"/>
      <c r="CW81" s="269"/>
      <c r="CX81" s="269"/>
      <c r="CY81" s="269"/>
      <c r="CZ81" s="270"/>
      <c r="DA81" s="268"/>
      <c r="DB81" s="269"/>
      <c r="DC81" s="269"/>
      <c r="DD81" s="269"/>
      <c r="DE81" s="269"/>
      <c r="DF81" s="269"/>
      <c r="DG81" s="269"/>
      <c r="DH81" s="269"/>
      <c r="DI81" s="270"/>
      <c r="DJ81" s="159"/>
      <c r="DK81" s="260"/>
      <c r="DL81" s="260"/>
      <c r="DM81" s="160"/>
      <c r="DN81" s="84"/>
      <c r="DO81" s="80"/>
      <c r="DP81" s="80"/>
      <c r="DQ81" s="80"/>
      <c r="DR81" s="80"/>
      <c r="DS81" s="80"/>
      <c r="DT81" s="80"/>
    </row>
    <row r="82" spans="2:124" s="32" customFormat="1" ht="12.75">
      <c r="B82" s="185" t="s">
        <v>2</v>
      </c>
      <c r="C82" s="186" t="s">
        <v>35</v>
      </c>
      <c r="D82" s="169">
        <f aca="true" t="shared" si="134" ref="D82:AI82">SUM(D12,D15,D27,D28,D43:D47,D48,D49,D50,D52:D70)</f>
        <v>0</v>
      </c>
      <c r="E82" s="170">
        <f t="shared" si="134"/>
        <v>12567.6</v>
      </c>
      <c r="F82" s="170">
        <f t="shared" si="134"/>
        <v>-3023.391</v>
      </c>
      <c r="G82" s="170">
        <f t="shared" si="134"/>
        <v>0</v>
      </c>
      <c r="H82" s="180">
        <f t="shared" si="134"/>
        <v>9544.208999999999</v>
      </c>
      <c r="I82" s="169">
        <f t="shared" si="134"/>
        <v>0</v>
      </c>
      <c r="J82" s="170">
        <f t="shared" si="134"/>
        <v>4037.647000000001</v>
      </c>
      <c r="K82" s="170">
        <f t="shared" si="134"/>
        <v>-3707.130322</v>
      </c>
      <c r="L82" s="170">
        <f t="shared" si="134"/>
        <v>0</v>
      </c>
      <c r="M82" s="170">
        <f t="shared" si="134"/>
        <v>0</v>
      </c>
      <c r="N82" s="170">
        <f t="shared" si="134"/>
        <v>0</v>
      </c>
      <c r="O82" s="180">
        <f t="shared" si="134"/>
        <v>9874.725677999999</v>
      </c>
      <c r="P82" s="169">
        <f t="shared" si="134"/>
        <v>16605.247</v>
      </c>
      <c r="Q82" s="170">
        <f t="shared" si="134"/>
        <v>6730.5213220000005</v>
      </c>
      <c r="R82" s="180">
        <f t="shared" si="134"/>
        <v>9874.725677999999</v>
      </c>
      <c r="S82" s="169">
        <f t="shared" si="134"/>
        <v>0</v>
      </c>
      <c r="T82" s="170">
        <f t="shared" si="134"/>
        <v>485.1</v>
      </c>
      <c r="U82" s="170">
        <f t="shared" si="134"/>
        <v>-493.816721</v>
      </c>
      <c r="V82" s="170">
        <f t="shared" si="134"/>
        <v>0</v>
      </c>
      <c r="W82" s="180">
        <f t="shared" si="134"/>
        <v>9866.008957</v>
      </c>
      <c r="X82" s="169">
        <f t="shared" si="134"/>
        <v>0</v>
      </c>
      <c r="Y82" s="170">
        <f t="shared" si="134"/>
        <v>13</v>
      </c>
      <c r="Z82" s="170">
        <f t="shared" si="134"/>
        <v>-588.0088659999999</v>
      </c>
      <c r="AA82" s="170">
        <f t="shared" si="134"/>
        <v>2.7755575615628914E-17</v>
      </c>
      <c r="AB82" s="180">
        <f t="shared" si="134"/>
        <v>9291.000090999998</v>
      </c>
      <c r="AC82" s="169">
        <f t="shared" si="134"/>
        <v>0</v>
      </c>
      <c r="AD82" s="170">
        <f t="shared" si="134"/>
        <v>726.96</v>
      </c>
      <c r="AE82" s="170">
        <f t="shared" si="134"/>
        <v>-377.52875900000004</v>
      </c>
      <c r="AF82" s="170">
        <f t="shared" si="134"/>
        <v>0</v>
      </c>
      <c r="AG82" s="180">
        <f t="shared" si="134"/>
        <v>9640.431332000002</v>
      </c>
      <c r="AH82" s="169">
        <f t="shared" si="134"/>
        <v>0</v>
      </c>
      <c r="AI82" s="170">
        <f t="shared" si="134"/>
        <v>-34.04899999999998</v>
      </c>
      <c r="AJ82" s="170">
        <f aca="true" t="shared" si="135" ref="AJ82:BO82">SUM(AJ12,AJ15,AJ27,AJ28,AJ43:AJ47,AJ48,AJ49,AJ50,AJ52:AJ70)</f>
        <v>-3164.3589999999995</v>
      </c>
      <c r="AK82" s="170">
        <f t="shared" si="135"/>
        <v>0</v>
      </c>
      <c r="AL82" s="170">
        <f t="shared" si="135"/>
        <v>6442.023332</v>
      </c>
      <c r="AM82" s="170">
        <f t="shared" si="135"/>
        <v>0</v>
      </c>
      <c r="AN82" s="170">
        <f t="shared" si="135"/>
        <v>0</v>
      </c>
      <c r="AO82" s="170">
        <f t="shared" si="135"/>
        <v>0</v>
      </c>
      <c r="AP82" s="180">
        <f t="shared" si="135"/>
        <v>0</v>
      </c>
      <c r="AQ82" s="169">
        <f t="shared" si="135"/>
        <v>17796.257999999998</v>
      </c>
      <c r="AR82" s="170">
        <f t="shared" si="135"/>
        <v>11354.234668000001</v>
      </c>
      <c r="AS82" s="175">
        <f t="shared" si="135"/>
        <v>6442.023332</v>
      </c>
      <c r="AT82" s="180">
        <f t="shared" si="135"/>
        <v>0</v>
      </c>
      <c r="AU82" s="169">
        <f t="shared" si="135"/>
        <v>0</v>
      </c>
      <c r="AV82" s="170">
        <f t="shared" si="135"/>
        <v>491.671</v>
      </c>
      <c r="AW82" s="331">
        <f t="shared" si="135"/>
        <v>-778.531</v>
      </c>
      <c r="AX82" s="170">
        <f t="shared" si="135"/>
        <v>-83.78649200000001</v>
      </c>
      <c r="AY82" s="170">
        <f t="shared" si="135"/>
        <v>6071.376840000001</v>
      </c>
      <c r="AZ82" s="170">
        <f t="shared" si="135"/>
        <v>84.267492</v>
      </c>
      <c r="BA82" s="170">
        <f t="shared" si="135"/>
        <v>0</v>
      </c>
      <c r="BB82" s="170">
        <f t="shared" si="135"/>
        <v>0</v>
      </c>
      <c r="BC82" s="180">
        <f t="shared" si="135"/>
        <v>84.267492</v>
      </c>
      <c r="BD82" s="272">
        <f t="shared" si="135"/>
        <v>0</v>
      </c>
      <c r="BE82" s="262">
        <f t="shared" si="135"/>
        <v>1419.144</v>
      </c>
      <c r="BF82" s="331">
        <f t="shared" si="135"/>
        <v>-944.3625000000001</v>
      </c>
      <c r="BG82" s="262">
        <f t="shared" si="135"/>
        <v>0</v>
      </c>
      <c r="BH82" s="262">
        <f t="shared" si="135"/>
        <v>6546.158339999999</v>
      </c>
      <c r="BI82" s="262">
        <f t="shared" si="135"/>
        <v>0</v>
      </c>
      <c r="BJ82" s="262">
        <f t="shared" si="135"/>
        <v>-33.191716</v>
      </c>
      <c r="BK82" s="262">
        <f t="shared" si="135"/>
        <v>0</v>
      </c>
      <c r="BL82" s="181">
        <f t="shared" si="135"/>
        <v>51.075776000000005</v>
      </c>
      <c r="BM82" s="272">
        <f t="shared" si="135"/>
        <v>0</v>
      </c>
      <c r="BN82" s="262">
        <f t="shared" si="135"/>
        <v>-402.2968</v>
      </c>
      <c r="BO82" s="331">
        <f t="shared" si="135"/>
        <v>-1048.5216760000003</v>
      </c>
      <c r="BP82" s="262">
        <f aca="true" t="shared" si="136" ref="BP82:BU82">SUM(BP12,BP15,BP27,BP28,BP43:BP47,BP48,BP49,BP50,BP52:BP70)</f>
        <v>0</v>
      </c>
      <c r="BQ82" s="262">
        <f t="shared" si="136"/>
        <v>5095.339863999999</v>
      </c>
      <c r="BR82" s="262">
        <f t="shared" si="136"/>
        <v>0</v>
      </c>
      <c r="BS82" s="262">
        <f t="shared" si="136"/>
        <v>0</v>
      </c>
      <c r="BT82" s="262">
        <f t="shared" si="136"/>
        <v>0</v>
      </c>
      <c r="BU82" s="181">
        <f t="shared" si="136"/>
        <v>51.075776000000005</v>
      </c>
      <c r="BV82" s="272">
        <f aca="true" t="shared" si="137" ref="BV82:CQ82">SUM(BV12,BV15,BV27,BV28,BV43:BV47,BV48,BV49,BV50,BV52:BV70,BV25)</f>
        <v>0</v>
      </c>
      <c r="BW82" s="262">
        <f t="shared" si="137"/>
        <v>33.120670000000004</v>
      </c>
      <c r="BX82" s="262">
        <f t="shared" si="137"/>
        <v>-279.98492699999997</v>
      </c>
      <c r="BY82" s="262">
        <f t="shared" si="137"/>
        <v>0</v>
      </c>
      <c r="BZ82" s="262">
        <f t="shared" si="137"/>
        <v>4848.475606999999</v>
      </c>
      <c r="CA82" s="262">
        <f t="shared" si="137"/>
        <v>0</v>
      </c>
      <c r="CB82" s="262">
        <f t="shared" si="137"/>
        <v>0</v>
      </c>
      <c r="CC82" s="262">
        <f t="shared" si="137"/>
        <v>0</v>
      </c>
      <c r="CD82" s="181">
        <f t="shared" si="137"/>
        <v>51.075776000000005</v>
      </c>
      <c r="CE82" s="272">
        <f t="shared" si="137"/>
        <v>19338.377869999997</v>
      </c>
      <c r="CF82" s="262">
        <f t="shared" si="137"/>
        <v>14438.826486999997</v>
      </c>
      <c r="CG82" s="262">
        <f t="shared" si="137"/>
        <v>4848.475606999999</v>
      </c>
      <c r="CH82" s="181">
        <f t="shared" si="137"/>
        <v>51.075776</v>
      </c>
      <c r="CI82" s="272">
        <f t="shared" si="137"/>
        <v>0</v>
      </c>
      <c r="CJ82" s="262">
        <f t="shared" si="137"/>
        <v>3.717479</v>
      </c>
      <c r="CK82" s="262">
        <f t="shared" si="137"/>
        <v>-173.30537999999999</v>
      </c>
      <c r="CL82" s="262">
        <f t="shared" si="137"/>
        <v>0</v>
      </c>
      <c r="CM82" s="262">
        <f t="shared" si="137"/>
        <v>4678.887706000001</v>
      </c>
      <c r="CN82" s="262">
        <f t="shared" si="137"/>
        <v>0</v>
      </c>
      <c r="CO82" s="262">
        <f t="shared" si="137"/>
        <v>0</v>
      </c>
      <c r="CP82" s="262">
        <f t="shared" si="137"/>
        <v>0</v>
      </c>
      <c r="CQ82" s="181">
        <f t="shared" si="137"/>
        <v>51.075776</v>
      </c>
      <c r="CR82" s="272">
        <f>SUM(CR12,CR15,CR27,CR28,CR43:CR47,CR48,CR49,CR50,CR52:CR70,CR25,CR51)</f>
        <v>0</v>
      </c>
      <c r="CS82" s="262">
        <f>SUM(CS12,CS15,CS27,CS28,CS43:CS47,CS48,CS49,CS50,CS52:CS70,CS25,CS51)</f>
        <v>2.064239999999998</v>
      </c>
      <c r="CT82" s="262">
        <f aca="true" t="shared" si="138" ref="CT82:CY82">SUM(CT12,CT15,CT27,CT28,CT43:CT47,CT48,CT49,CT50,CT52:CT70,CT25,CT51)</f>
        <v>-193.79599700000003</v>
      </c>
      <c r="CU82" s="262">
        <f t="shared" si="138"/>
        <v>0</v>
      </c>
      <c r="CV82" s="262">
        <f t="shared" si="138"/>
        <v>3257.1893410000002</v>
      </c>
      <c r="CW82" s="262">
        <f t="shared" si="138"/>
        <v>0</v>
      </c>
      <c r="CX82" s="262">
        <f t="shared" si="138"/>
        <v>-25.157514</v>
      </c>
      <c r="CY82" s="262">
        <f t="shared" si="138"/>
        <v>0</v>
      </c>
      <c r="CZ82" s="181">
        <f>SUM(CZ12,CZ15,CZ27,CZ28,CZ43:CZ47,CZ48,CZ49,CZ50,CZ52:CZ70,CZ25,CZ51)</f>
        <v>25.918262</v>
      </c>
      <c r="DA82" s="272">
        <f>SUM(DA12,DA15,DA27,DA28,DA43:DA47,DA48,DA49,DA50,DA52:DA70,DA25,DA51)</f>
        <v>0</v>
      </c>
      <c r="DB82" s="262">
        <f>SUM(DB12,DB15,DB27,DB28,DB43:DB47,DB48,DB49,DB50,DB52:DB70,DB25,DB51)</f>
        <v>680.9200000000001</v>
      </c>
      <c r="DC82" s="262">
        <f aca="true" t="shared" si="139" ref="DC82:DH82">SUM(DC12,DC15,DC27,DC28,DC43:DC47,DC48,DC49,DC50,DC52:DC70,DC25,DC51)</f>
        <v>-314.396501</v>
      </c>
      <c r="DD82" s="262">
        <f t="shared" si="139"/>
        <v>-25.073</v>
      </c>
      <c r="DE82" s="262">
        <f t="shared" si="139"/>
        <v>3598.6398400000003</v>
      </c>
      <c r="DF82" s="262">
        <f t="shared" si="139"/>
        <v>0</v>
      </c>
      <c r="DG82" s="262">
        <f t="shared" si="139"/>
        <v>0</v>
      </c>
      <c r="DH82" s="262">
        <f t="shared" si="139"/>
        <v>0</v>
      </c>
      <c r="DI82" s="181">
        <f>SUM(DI12,DI15,DI27,DI28,DI43:DI47,DI48,DI49,DI50,DI52:DI70,DI25,DI51)</f>
        <v>25.918262</v>
      </c>
      <c r="DJ82" s="272">
        <f>SUM(DJ12,DJ15,DJ27,DJ28,DJ43:DJ47,DJ48,DJ49,DJ50,DJ52:DJ70,DJ25,DJ51)</f>
        <v>20000.006588999993</v>
      </c>
      <c r="DK82" s="262">
        <f>SUM(DK12,DK15,DK27,DK28,DK43:DK47,DK48,DK49,DK50,DK52:DK70,DK25,DK51)</f>
        <v>15145.481878999995</v>
      </c>
      <c r="DL82" s="262">
        <f>SUM(DL12,DL15,DL27,DL28,DL43:DL47,DL48,DL49,DL50,DL52:DL70,DL25,DL51)</f>
        <v>4828.6064480000005</v>
      </c>
      <c r="DM82" s="181">
        <f>SUM(DM12,DM15,DM27,DM28,DM43:DM47,DM48,DM49,DM50,DM52:DM70,DM25,DM51)</f>
        <v>25.918262</v>
      </c>
      <c r="DN82" s="84"/>
      <c r="DO82" s="80"/>
      <c r="DP82" s="80"/>
      <c r="DQ82" s="80"/>
      <c r="DR82" s="80"/>
      <c r="DS82" s="80"/>
      <c r="DT82" s="80"/>
    </row>
    <row r="83" spans="2:118" ht="12.75">
      <c r="B83" s="9" t="s">
        <v>2</v>
      </c>
      <c r="C83" s="31" t="s">
        <v>9</v>
      </c>
      <c r="D83" s="29">
        <f aca="true" t="shared" si="140" ref="D83:AI83">SUM(D8:D11,D13:D14,D16:D21,D24:D26,D31:D42,D71:D72,D76,D79:D79)</f>
        <v>3319.1169999999997</v>
      </c>
      <c r="E83" s="27">
        <f t="shared" si="140"/>
        <v>16694.699999999997</v>
      </c>
      <c r="F83" s="27">
        <f t="shared" si="140"/>
        <v>-10680.57</v>
      </c>
      <c r="G83" s="27">
        <f t="shared" si="140"/>
        <v>7.95</v>
      </c>
      <c r="H83" s="92">
        <f t="shared" si="140"/>
        <v>6022.08</v>
      </c>
      <c r="I83" s="29">
        <f t="shared" si="140"/>
        <v>450.02399999999994</v>
      </c>
      <c r="J83" s="27">
        <f t="shared" si="140"/>
        <v>644.54</v>
      </c>
      <c r="K83" s="27">
        <f t="shared" si="140"/>
        <v>-1891.13</v>
      </c>
      <c r="L83" s="27">
        <f t="shared" si="140"/>
        <v>24.06</v>
      </c>
      <c r="M83" s="27">
        <f t="shared" si="140"/>
        <v>-15.969999999999999</v>
      </c>
      <c r="N83" s="27">
        <f t="shared" si="140"/>
        <v>0</v>
      </c>
      <c r="O83" s="92">
        <f t="shared" si="140"/>
        <v>4783.58</v>
      </c>
      <c r="P83" s="29">
        <f t="shared" si="140"/>
        <v>21140.474000000002</v>
      </c>
      <c r="Q83" s="27">
        <f t="shared" si="140"/>
        <v>16356.771</v>
      </c>
      <c r="R83" s="92">
        <f t="shared" si="140"/>
        <v>4783.803</v>
      </c>
      <c r="S83" s="29">
        <f t="shared" si="140"/>
        <v>53.065</v>
      </c>
      <c r="T83" s="27">
        <f t="shared" si="140"/>
        <v>-96</v>
      </c>
      <c r="U83" s="27">
        <f t="shared" si="140"/>
        <v>-201.63600000000002</v>
      </c>
      <c r="V83" s="27">
        <f t="shared" si="140"/>
        <v>0.42</v>
      </c>
      <c r="W83" s="92">
        <f t="shared" si="140"/>
        <v>4486.5869999999995</v>
      </c>
      <c r="X83" s="29">
        <f t="shared" si="140"/>
        <v>50.391999999999996</v>
      </c>
      <c r="Y83" s="27">
        <f t="shared" si="140"/>
        <v>528.086</v>
      </c>
      <c r="Z83" s="27">
        <f t="shared" si="140"/>
        <v>-26.535000000000004</v>
      </c>
      <c r="AA83" s="27">
        <f t="shared" si="140"/>
        <v>0.52</v>
      </c>
      <c r="AB83" s="92">
        <f t="shared" si="140"/>
        <v>4988.657999999999</v>
      </c>
      <c r="AC83" s="29">
        <f t="shared" si="140"/>
        <v>58.159</v>
      </c>
      <c r="AD83" s="27">
        <f t="shared" si="140"/>
        <v>70.95</v>
      </c>
      <c r="AE83" s="27">
        <f t="shared" si="140"/>
        <v>-65.99499999999999</v>
      </c>
      <c r="AF83" s="27">
        <f t="shared" si="140"/>
        <v>0.37</v>
      </c>
      <c r="AG83" s="92">
        <f t="shared" si="140"/>
        <v>4993.983</v>
      </c>
      <c r="AH83" s="29">
        <f t="shared" si="140"/>
        <v>46.004000000000005</v>
      </c>
      <c r="AI83" s="27">
        <f t="shared" si="140"/>
        <v>3329.635</v>
      </c>
      <c r="AJ83" s="27">
        <f aca="true" t="shared" si="141" ref="AJ83:BL83">SUM(AJ8:AJ11,AJ13:AJ14,AJ16:AJ21,AJ24:AJ26,AJ31:AJ42,AJ71:AJ72,AJ76,AJ79:AJ79)</f>
        <v>-101.259</v>
      </c>
      <c r="AK83" s="27">
        <f t="shared" si="141"/>
        <v>4.749</v>
      </c>
      <c r="AL83" s="27">
        <f t="shared" si="141"/>
        <v>8227.108</v>
      </c>
      <c r="AM83" s="27">
        <f t="shared" si="141"/>
        <v>0</v>
      </c>
      <c r="AN83" s="27">
        <f t="shared" si="141"/>
        <v>0</v>
      </c>
      <c r="AO83" s="27">
        <f t="shared" si="141"/>
        <v>0</v>
      </c>
      <c r="AP83" s="92">
        <f t="shared" si="141"/>
        <v>0</v>
      </c>
      <c r="AQ83" s="29">
        <f t="shared" si="141"/>
        <v>25186.824</v>
      </c>
      <c r="AR83" s="27">
        <f t="shared" si="141"/>
        <v>16959.816000000003</v>
      </c>
      <c r="AS83" s="58">
        <f t="shared" si="141"/>
        <v>8227.108</v>
      </c>
      <c r="AT83" s="92">
        <f t="shared" si="141"/>
        <v>0</v>
      </c>
      <c r="AU83" s="29">
        <f t="shared" si="141"/>
        <v>22.081000000000003</v>
      </c>
      <c r="AV83" s="27">
        <f t="shared" si="141"/>
        <v>-10.130999999999997</v>
      </c>
      <c r="AW83" s="330">
        <f t="shared" si="141"/>
        <v>-82.10199999999999</v>
      </c>
      <c r="AX83" s="27">
        <f t="shared" si="141"/>
        <v>-3848.636</v>
      </c>
      <c r="AY83" s="27">
        <f t="shared" si="141"/>
        <v>4286.238999999999</v>
      </c>
      <c r="AZ83" s="27">
        <f t="shared" si="141"/>
        <v>3848.58</v>
      </c>
      <c r="BA83" s="27">
        <f t="shared" si="141"/>
        <v>-356</v>
      </c>
      <c r="BB83" s="27">
        <f t="shared" si="141"/>
        <v>9.56</v>
      </c>
      <c r="BC83" s="92">
        <f t="shared" si="141"/>
        <v>3502.14</v>
      </c>
      <c r="BD83" s="159">
        <f t="shared" si="141"/>
        <v>31.644000000000002</v>
      </c>
      <c r="BE83" s="260">
        <f t="shared" si="141"/>
        <v>-122.079</v>
      </c>
      <c r="BF83" s="330">
        <f t="shared" si="141"/>
        <v>-76.326</v>
      </c>
      <c r="BG83" s="260">
        <f t="shared" si="141"/>
        <v>0.8</v>
      </c>
      <c r="BH83" s="260">
        <f t="shared" si="141"/>
        <v>4088.6339999999987</v>
      </c>
      <c r="BI83" s="260">
        <f t="shared" si="141"/>
        <v>0</v>
      </c>
      <c r="BJ83" s="260">
        <f t="shared" si="141"/>
        <v>-5</v>
      </c>
      <c r="BK83" s="260">
        <f t="shared" si="141"/>
        <v>9.25</v>
      </c>
      <c r="BL83" s="160">
        <f t="shared" si="141"/>
        <v>3506.39</v>
      </c>
      <c r="BM83" s="159">
        <f aca="true" t="shared" si="142" ref="BM83:BV83">SUM(BM8:BM11,BM13:BM14,BM16:BM21,BM24:BM26,BM31:BM42,BM71:BM72,BM76,BM79:BM79,BM73)</f>
        <v>21.601</v>
      </c>
      <c r="BN83" s="260">
        <f t="shared" si="142"/>
        <v>0.6454170000000841</v>
      </c>
      <c r="BO83" s="330">
        <f t="shared" si="142"/>
        <v>-67.912062</v>
      </c>
      <c r="BP83" s="260">
        <f t="shared" si="142"/>
        <v>0.3000000000000007</v>
      </c>
      <c r="BQ83" s="260">
        <f t="shared" si="142"/>
        <v>4021.6673549999987</v>
      </c>
      <c r="BR83" s="260">
        <f t="shared" si="142"/>
        <v>0</v>
      </c>
      <c r="BS83" s="260">
        <f t="shared" si="142"/>
        <v>0</v>
      </c>
      <c r="BT83" s="260">
        <f t="shared" si="142"/>
        <v>9.27</v>
      </c>
      <c r="BU83" s="160">
        <f t="shared" si="142"/>
        <v>3515.66</v>
      </c>
      <c r="BV83" s="159">
        <f t="shared" si="142"/>
        <v>27.452</v>
      </c>
      <c r="BW83" s="260">
        <f aca="true" t="shared" si="143" ref="BW83:CH83">SUM(BW8:BW11,BW13:BW14,BW16:BW21,BW24,BW26,BW31:BW42,BW71:BW72,BW76,BW79:BW79,BW73)</f>
        <v>0.3</v>
      </c>
      <c r="BX83" s="260">
        <f t="shared" si="143"/>
        <v>-44.501079999999995</v>
      </c>
      <c r="BY83" s="260">
        <f t="shared" si="143"/>
        <v>-5.088573</v>
      </c>
      <c r="BZ83" s="260">
        <f t="shared" si="143"/>
        <v>3972.377701999999</v>
      </c>
      <c r="CA83" s="260">
        <f t="shared" si="143"/>
        <v>0</v>
      </c>
      <c r="CB83" s="260">
        <f t="shared" si="143"/>
        <v>0</v>
      </c>
      <c r="CC83" s="260">
        <f t="shared" si="143"/>
        <v>9.3</v>
      </c>
      <c r="CD83" s="160">
        <f t="shared" si="143"/>
        <v>3524.96</v>
      </c>
      <c r="CE83" s="159">
        <f t="shared" si="143"/>
        <v>25191.672844</v>
      </c>
      <c r="CF83" s="260">
        <f t="shared" si="143"/>
        <v>17694.435142</v>
      </c>
      <c r="CG83" s="260">
        <f t="shared" si="143"/>
        <v>3972.377702</v>
      </c>
      <c r="CH83" s="160">
        <f t="shared" si="143"/>
        <v>3524.96</v>
      </c>
      <c r="CI83" s="159">
        <f>SUM(CI8:CI11,CI13:CI14,CI16:CI21,CI24:CI26,CI31:CI42,CI71:CI72,CI76,CI79:CI79,CI73)</f>
        <v>25.186</v>
      </c>
      <c r="CJ83" s="260">
        <f aca="true" t="shared" si="144" ref="CJ83:CQ83">SUM(CJ8:CJ11,CJ13:CJ14,CJ16:CJ21,CJ24,CJ26,CJ31:CJ42,CJ71:CJ72,CJ76,CJ79:CJ79,CJ73)</f>
        <v>0.573142</v>
      </c>
      <c r="CK83" s="260">
        <f t="shared" si="144"/>
        <v>-36.463764</v>
      </c>
      <c r="CL83" s="260">
        <f t="shared" si="144"/>
        <v>0</v>
      </c>
      <c r="CM83" s="260">
        <f t="shared" si="144"/>
        <v>3936.48708</v>
      </c>
      <c r="CN83" s="260">
        <f t="shared" si="144"/>
        <v>0</v>
      </c>
      <c r="CO83" s="260">
        <f t="shared" si="144"/>
        <v>-565</v>
      </c>
      <c r="CP83" s="260">
        <f t="shared" si="144"/>
        <v>9.75</v>
      </c>
      <c r="CQ83" s="160">
        <f t="shared" si="144"/>
        <v>2969.71</v>
      </c>
      <c r="CR83" s="159">
        <f>SUM(CR8:CR11,CR13:CR14,CR16:CR21,CR24:CR26,CR31:CR42,CR71:CR72,CR76,CR79:CR79,CR73)</f>
        <v>186.004</v>
      </c>
      <c r="CS83" s="260">
        <f aca="true" t="shared" si="145" ref="CS83:CZ83">SUM(CS8:CS11,CS13:CS14,CS16:CS21,CS24,CS26,CS31:CS42,CS71:CS72,CS76,CS79:CS79,CS73)</f>
        <v>3.643</v>
      </c>
      <c r="CT83" s="260">
        <f t="shared" si="145"/>
        <v>-21.104547</v>
      </c>
      <c r="CU83" s="260">
        <f t="shared" si="145"/>
        <v>0.264</v>
      </c>
      <c r="CV83" s="260">
        <f t="shared" si="145"/>
        <v>12.557685000000125</v>
      </c>
      <c r="CW83" s="260">
        <f t="shared" si="145"/>
        <v>0</v>
      </c>
      <c r="CX83" s="260">
        <f t="shared" si="145"/>
        <v>0</v>
      </c>
      <c r="CY83" s="260">
        <f t="shared" si="145"/>
        <v>8.695</v>
      </c>
      <c r="CZ83" s="160">
        <f t="shared" si="145"/>
        <v>2977.545</v>
      </c>
      <c r="DA83" s="159">
        <f>SUM(DA8:DA11,DA13:DA14,DA16:DA21,DA24:DA26,DA31:DA42,DA71:DA72,DA76,DA79:DA79,DA73)</f>
        <v>26.928</v>
      </c>
      <c r="DB83" s="260">
        <f aca="true" t="shared" si="146" ref="DB83:DM83">SUM(DB8:DB11,DB13:DB14,DB16:DB21,DB24,DB26,DB31:DB42,DB71:DB72,DB76,DB79:DB79,DB73)</f>
        <v>-19.782</v>
      </c>
      <c r="DC83" s="260">
        <f t="shared" si="146"/>
        <v>-24.345133000000004</v>
      </c>
      <c r="DD83" s="260">
        <f t="shared" si="146"/>
        <v>25.793</v>
      </c>
      <c r="DE83" s="260">
        <f t="shared" si="146"/>
        <v>-5.776447999999867</v>
      </c>
      <c r="DF83" s="260">
        <f t="shared" si="146"/>
        <v>0</v>
      </c>
      <c r="DG83" s="260">
        <f t="shared" si="146"/>
        <v>0</v>
      </c>
      <c r="DH83" s="260">
        <f t="shared" si="146"/>
        <v>8.723</v>
      </c>
      <c r="DI83" s="160">
        <f t="shared" si="146"/>
        <v>2986.268</v>
      </c>
      <c r="DJ83" s="159">
        <f t="shared" si="146"/>
        <v>25467.449986</v>
      </c>
      <c r="DK83" s="260">
        <f t="shared" si="146"/>
        <v>18579.466586000002</v>
      </c>
      <c r="DL83" s="260">
        <f t="shared" si="146"/>
        <v>3901.8154</v>
      </c>
      <c r="DM83" s="160">
        <f t="shared" si="146"/>
        <v>2986.268</v>
      </c>
      <c r="DN83" s="84"/>
    </row>
    <row r="84" spans="2:124" s="1" customFormat="1" ht="12.75">
      <c r="B84" s="130"/>
      <c r="C84" s="131" t="s">
        <v>2</v>
      </c>
      <c r="D84" s="132">
        <f>SUM(D82:D83)</f>
        <v>3319.1169999999997</v>
      </c>
      <c r="E84" s="133">
        <f aca="true" t="shared" si="147" ref="E84:AT84">SUM(E82:E83)</f>
        <v>29262.299999999996</v>
      </c>
      <c r="F84" s="133">
        <f t="shared" si="147"/>
        <v>-13703.961</v>
      </c>
      <c r="G84" s="133">
        <f t="shared" si="147"/>
        <v>7.95</v>
      </c>
      <c r="H84" s="134">
        <f t="shared" si="147"/>
        <v>15566.288999999999</v>
      </c>
      <c r="I84" s="132">
        <f t="shared" si="147"/>
        <v>450.02399999999994</v>
      </c>
      <c r="J84" s="133">
        <f t="shared" si="147"/>
        <v>4682.187000000001</v>
      </c>
      <c r="K84" s="133">
        <f t="shared" si="147"/>
        <v>-5598.260322</v>
      </c>
      <c r="L84" s="133">
        <f t="shared" si="147"/>
        <v>24.06</v>
      </c>
      <c r="M84" s="133">
        <f t="shared" si="147"/>
        <v>-15.969999999999999</v>
      </c>
      <c r="N84" s="133">
        <f t="shared" si="147"/>
        <v>0</v>
      </c>
      <c r="O84" s="134">
        <f t="shared" si="147"/>
        <v>14658.305677999999</v>
      </c>
      <c r="P84" s="132">
        <f t="shared" si="147"/>
        <v>37745.721000000005</v>
      </c>
      <c r="Q84" s="133">
        <f t="shared" si="147"/>
        <v>23087.292322</v>
      </c>
      <c r="R84" s="134">
        <f t="shared" si="147"/>
        <v>14658.528677999999</v>
      </c>
      <c r="S84" s="135">
        <f t="shared" si="147"/>
        <v>53.065</v>
      </c>
      <c r="T84" s="136">
        <f t="shared" si="147"/>
        <v>389.1</v>
      </c>
      <c r="U84" s="136">
        <f t="shared" si="147"/>
        <v>-695.452721</v>
      </c>
      <c r="V84" s="136">
        <f t="shared" si="147"/>
        <v>0.42</v>
      </c>
      <c r="W84" s="137">
        <f t="shared" si="147"/>
        <v>14352.595957</v>
      </c>
      <c r="X84" s="135">
        <f t="shared" si="147"/>
        <v>50.391999999999996</v>
      </c>
      <c r="Y84" s="136">
        <f t="shared" si="147"/>
        <v>541.086</v>
      </c>
      <c r="Z84" s="136">
        <f t="shared" si="147"/>
        <v>-614.5438659999999</v>
      </c>
      <c r="AA84" s="136">
        <f t="shared" si="147"/>
        <v>0.52</v>
      </c>
      <c r="AB84" s="137">
        <f t="shared" si="147"/>
        <v>14279.658090999998</v>
      </c>
      <c r="AC84" s="135">
        <f t="shared" si="147"/>
        <v>58.159</v>
      </c>
      <c r="AD84" s="136">
        <f t="shared" si="147"/>
        <v>797.9100000000001</v>
      </c>
      <c r="AE84" s="136">
        <f t="shared" si="147"/>
        <v>-443.52375900000004</v>
      </c>
      <c r="AF84" s="136">
        <f t="shared" si="147"/>
        <v>0.37</v>
      </c>
      <c r="AG84" s="136">
        <f t="shared" si="147"/>
        <v>14634.414332000002</v>
      </c>
      <c r="AH84" s="135">
        <f t="shared" si="147"/>
        <v>46.004000000000005</v>
      </c>
      <c r="AI84" s="136">
        <f t="shared" si="147"/>
        <v>3295.5860000000002</v>
      </c>
      <c r="AJ84" s="136">
        <f t="shared" si="147"/>
        <v>-3265.6179999999995</v>
      </c>
      <c r="AK84" s="136">
        <f t="shared" si="147"/>
        <v>4.749</v>
      </c>
      <c r="AL84" s="136">
        <f t="shared" si="147"/>
        <v>14669.131332</v>
      </c>
      <c r="AM84" s="136">
        <f>SUM(AM82:AM83)</f>
        <v>0</v>
      </c>
      <c r="AN84" s="136">
        <f t="shared" si="147"/>
        <v>0</v>
      </c>
      <c r="AO84" s="136">
        <f>SUM(AO82:AO83)</f>
        <v>0</v>
      </c>
      <c r="AP84" s="137">
        <f t="shared" si="147"/>
        <v>0</v>
      </c>
      <c r="AQ84" s="135">
        <f t="shared" si="147"/>
        <v>42983.081999999995</v>
      </c>
      <c r="AR84" s="136">
        <f t="shared" si="147"/>
        <v>28314.050668000003</v>
      </c>
      <c r="AS84" s="136">
        <f t="shared" si="147"/>
        <v>14669.131332</v>
      </c>
      <c r="AT84" s="137">
        <f t="shared" si="147"/>
        <v>0</v>
      </c>
      <c r="AU84" s="135">
        <f aca="true" t="shared" si="148" ref="AU84:BC84">SUM(AU82:AU83)</f>
        <v>22.081000000000003</v>
      </c>
      <c r="AV84" s="136">
        <f t="shared" si="148"/>
        <v>481.54</v>
      </c>
      <c r="AW84" s="136">
        <f t="shared" si="148"/>
        <v>-860.6329999999999</v>
      </c>
      <c r="AX84" s="136">
        <f t="shared" si="148"/>
        <v>-3932.422492</v>
      </c>
      <c r="AY84" s="136">
        <f t="shared" si="148"/>
        <v>10357.615839999999</v>
      </c>
      <c r="AZ84" s="136">
        <f t="shared" si="148"/>
        <v>3932.847492</v>
      </c>
      <c r="BA84" s="136">
        <f t="shared" si="148"/>
        <v>-356</v>
      </c>
      <c r="BB84" s="136">
        <f t="shared" si="148"/>
        <v>9.56</v>
      </c>
      <c r="BC84" s="137">
        <f t="shared" si="148"/>
        <v>3586.407492</v>
      </c>
      <c r="BD84" s="276">
        <f aca="true" t="shared" si="149" ref="BD84:BL84">SUM(BD82:BD83)</f>
        <v>31.644000000000002</v>
      </c>
      <c r="BE84" s="277">
        <f t="shared" si="149"/>
        <v>1297.065</v>
      </c>
      <c r="BF84" s="277">
        <f t="shared" si="149"/>
        <v>-1020.6885000000001</v>
      </c>
      <c r="BG84" s="277">
        <f t="shared" si="149"/>
        <v>0.8</v>
      </c>
      <c r="BH84" s="277">
        <f t="shared" si="149"/>
        <v>10634.792339999998</v>
      </c>
      <c r="BI84" s="277">
        <f t="shared" si="149"/>
        <v>0</v>
      </c>
      <c r="BJ84" s="277">
        <f t="shared" si="149"/>
        <v>-38.191716</v>
      </c>
      <c r="BK84" s="277">
        <f t="shared" si="149"/>
        <v>9.25</v>
      </c>
      <c r="BL84" s="161">
        <f t="shared" si="149"/>
        <v>3557.465776</v>
      </c>
      <c r="BM84" s="276">
        <f aca="true" t="shared" si="150" ref="BM84:BU84">SUM(BM82:BM83)</f>
        <v>21.601</v>
      </c>
      <c r="BN84" s="277">
        <f t="shared" si="150"/>
        <v>-401.65138299999995</v>
      </c>
      <c r="BO84" s="277">
        <f t="shared" si="150"/>
        <v>-1116.4337380000004</v>
      </c>
      <c r="BP84" s="277">
        <f t="shared" si="150"/>
        <v>0.3000000000000007</v>
      </c>
      <c r="BQ84" s="277">
        <f t="shared" si="150"/>
        <v>9117.007218999997</v>
      </c>
      <c r="BR84" s="277">
        <f t="shared" si="150"/>
        <v>0</v>
      </c>
      <c r="BS84" s="277">
        <f t="shared" si="150"/>
        <v>0</v>
      </c>
      <c r="BT84" s="277">
        <f t="shared" si="150"/>
        <v>9.27</v>
      </c>
      <c r="BU84" s="161">
        <f t="shared" si="150"/>
        <v>3566.735776</v>
      </c>
      <c r="BV84" s="276">
        <f aca="true" t="shared" si="151" ref="BV84:CD84">SUM(BV82:BV83)</f>
        <v>27.452</v>
      </c>
      <c r="BW84" s="277">
        <f t="shared" si="151"/>
        <v>33.42067</v>
      </c>
      <c r="BX84" s="277">
        <f t="shared" si="151"/>
        <v>-324.486007</v>
      </c>
      <c r="BY84" s="277">
        <f t="shared" si="151"/>
        <v>-5.088573</v>
      </c>
      <c r="BZ84" s="277">
        <f t="shared" si="151"/>
        <v>8820.853308999998</v>
      </c>
      <c r="CA84" s="277">
        <f t="shared" si="151"/>
        <v>0</v>
      </c>
      <c r="CB84" s="277">
        <f t="shared" si="151"/>
        <v>0</v>
      </c>
      <c r="CC84" s="277">
        <f t="shared" si="151"/>
        <v>9.3</v>
      </c>
      <c r="CD84" s="161">
        <f t="shared" si="151"/>
        <v>3576.035776</v>
      </c>
      <c r="CE84" s="276">
        <f>SUM(CE82:CE83)</f>
        <v>44530.050714</v>
      </c>
      <c r="CF84" s="277">
        <f>SUM(CF82:CF83)</f>
        <v>32133.261628999993</v>
      </c>
      <c r="CG84" s="277">
        <f>SUM(CG82:CG83)</f>
        <v>8820.853309</v>
      </c>
      <c r="CH84" s="161">
        <f>SUM(CH82:CH83)</f>
        <v>3576.035776</v>
      </c>
      <c r="CI84" s="276">
        <f aca="true" t="shared" si="152" ref="CI84:CQ84">SUM(CI82:CI83)</f>
        <v>25.186</v>
      </c>
      <c r="CJ84" s="277">
        <f t="shared" si="152"/>
        <v>4.290621</v>
      </c>
      <c r="CK84" s="277">
        <f t="shared" si="152"/>
        <v>-209.76914399999998</v>
      </c>
      <c r="CL84" s="277">
        <f t="shared" si="152"/>
        <v>0</v>
      </c>
      <c r="CM84" s="277">
        <f t="shared" si="152"/>
        <v>8615.374786</v>
      </c>
      <c r="CN84" s="277">
        <f t="shared" si="152"/>
        <v>0</v>
      </c>
      <c r="CO84" s="277">
        <f t="shared" si="152"/>
        <v>-565</v>
      </c>
      <c r="CP84" s="277">
        <f t="shared" si="152"/>
        <v>9.75</v>
      </c>
      <c r="CQ84" s="161">
        <f t="shared" si="152"/>
        <v>3020.785776</v>
      </c>
      <c r="CR84" s="276">
        <f aca="true" t="shared" si="153" ref="CR84:CZ84">SUM(CR82:CR83)</f>
        <v>186.004</v>
      </c>
      <c r="CS84" s="277">
        <f t="shared" si="153"/>
        <v>5.707239999999998</v>
      </c>
      <c r="CT84" s="277">
        <f t="shared" si="153"/>
        <v>-214.90054400000002</v>
      </c>
      <c r="CU84" s="277">
        <f t="shared" si="153"/>
        <v>0.264</v>
      </c>
      <c r="CV84" s="277">
        <f t="shared" si="153"/>
        <v>3269.7470260000005</v>
      </c>
      <c r="CW84" s="277">
        <f t="shared" si="153"/>
        <v>0</v>
      </c>
      <c r="CX84" s="277">
        <f t="shared" si="153"/>
        <v>-25.157514</v>
      </c>
      <c r="CY84" s="277">
        <f t="shared" si="153"/>
        <v>8.695</v>
      </c>
      <c r="CZ84" s="161">
        <f t="shared" si="153"/>
        <v>3003.463262</v>
      </c>
      <c r="DA84" s="276">
        <f aca="true" t="shared" si="154" ref="DA84:DI84">SUM(DA82:DA83)</f>
        <v>26.928</v>
      </c>
      <c r="DB84" s="277">
        <f t="shared" si="154"/>
        <v>661.138</v>
      </c>
      <c r="DC84" s="277">
        <f t="shared" si="154"/>
        <v>-338.741634</v>
      </c>
      <c r="DD84" s="277">
        <f t="shared" si="154"/>
        <v>0.7199999999999989</v>
      </c>
      <c r="DE84" s="277">
        <f t="shared" si="154"/>
        <v>3592.863392</v>
      </c>
      <c r="DF84" s="277">
        <f t="shared" si="154"/>
        <v>0</v>
      </c>
      <c r="DG84" s="277">
        <f t="shared" si="154"/>
        <v>0</v>
      </c>
      <c r="DH84" s="277">
        <f t="shared" si="154"/>
        <v>8.723</v>
      </c>
      <c r="DI84" s="161">
        <f t="shared" si="154"/>
        <v>3012.186262</v>
      </c>
      <c r="DJ84" s="379">
        <f>SUM(DJ82:DJ83)</f>
        <v>45467.45657499999</v>
      </c>
      <c r="DK84" s="380">
        <f>SUM(DK82:DK83)</f>
        <v>33724.948464999994</v>
      </c>
      <c r="DL84" s="380">
        <f>SUM(DL82:DL83)</f>
        <v>8730.421848</v>
      </c>
      <c r="DM84" s="381">
        <f>SUM(DM82:DM83)</f>
        <v>3012.186262</v>
      </c>
      <c r="DN84" s="84"/>
      <c r="DO84" s="152"/>
      <c r="DP84" s="152"/>
      <c r="DQ84" s="152"/>
      <c r="DR84" s="152"/>
      <c r="DS84" s="152"/>
      <c r="DT84" s="152"/>
    </row>
    <row r="85" spans="2:118" ht="4.5" customHeight="1">
      <c r="B85" s="11"/>
      <c r="C85" s="32"/>
      <c r="D85" s="29"/>
      <c r="E85" s="27"/>
      <c r="F85" s="13"/>
      <c r="G85" s="13"/>
      <c r="H85" s="14"/>
      <c r="I85" s="12"/>
      <c r="J85" s="13"/>
      <c r="K85" s="13"/>
      <c r="L85" s="13"/>
      <c r="M85" s="13"/>
      <c r="N85" s="13"/>
      <c r="O85" s="14"/>
      <c r="P85" s="12"/>
      <c r="Q85" s="13"/>
      <c r="R85" s="34"/>
      <c r="S85" s="54"/>
      <c r="T85" s="55"/>
      <c r="U85" s="55"/>
      <c r="V85" s="55"/>
      <c r="W85" s="56"/>
      <c r="X85" s="54"/>
      <c r="Y85" s="55"/>
      <c r="Z85" s="55"/>
      <c r="AA85" s="55"/>
      <c r="AB85" s="56"/>
      <c r="AC85" s="54"/>
      <c r="AD85" s="55"/>
      <c r="AE85" s="55"/>
      <c r="AF85" s="55"/>
      <c r="AG85" s="93"/>
      <c r="AH85" s="94"/>
      <c r="AI85" s="93"/>
      <c r="AJ85" s="93"/>
      <c r="AK85" s="93"/>
      <c r="AL85" s="93"/>
      <c r="AM85" s="93"/>
      <c r="AN85" s="93"/>
      <c r="AO85" s="93"/>
      <c r="AP85" s="56"/>
      <c r="AQ85" s="57"/>
      <c r="AR85" s="58"/>
      <c r="AS85" s="58"/>
      <c r="AT85" s="66"/>
      <c r="AU85" s="94"/>
      <c r="AV85" s="93"/>
      <c r="AW85" s="93"/>
      <c r="AX85" s="93"/>
      <c r="AY85" s="93"/>
      <c r="AZ85" s="93"/>
      <c r="BA85" s="93"/>
      <c r="BB85" s="93"/>
      <c r="BC85" s="56"/>
      <c r="BD85" s="268"/>
      <c r="BE85" s="269"/>
      <c r="BF85" s="269"/>
      <c r="BG85" s="269"/>
      <c r="BH85" s="269"/>
      <c r="BI85" s="269"/>
      <c r="BJ85" s="269"/>
      <c r="BK85" s="269"/>
      <c r="BL85" s="270"/>
      <c r="BM85" s="268"/>
      <c r="BN85" s="269"/>
      <c r="BO85" s="269"/>
      <c r="BP85" s="269"/>
      <c r="BQ85" s="269"/>
      <c r="BR85" s="269"/>
      <c r="BS85" s="269"/>
      <c r="BT85" s="269"/>
      <c r="BU85" s="270"/>
      <c r="BV85" s="268"/>
      <c r="BW85" s="269"/>
      <c r="BX85" s="269"/>
      <c r="BY85" s="269"/>
      <c r="BZ85" s="269"/>
      <c r="CA85" s="269"/>
      <c r="CB85" s="269"/>
      <c r="CC85" s="269"/>
      <c r="CD85" s="270"/>
      <c r="CE85" s="257"/>
      <c r="CF85" s="157"/>
      <c r="CG85" s="157"/>
      <c r="CH85" s="317"/>
      <c r="CI85" s="268"/>
      <c r="CJ85" s="269"/>
      <c r="CK85" s="269"/>
      <c r="CL85" s="269"/>
      <c r="CM85" s="269"/>
      <c r="CN85" s="269"/>
      <c r="CO85" s="269"/>
      <c r="CP85" s="269"/>
      <c r="CQ85" s="270"/>
      <c r="CR85" s="268"/>
      <c r="CS85" s="269"/>
      <c r="CT85" s="269"/>
      <c r="CU85" s="269"/>
      <c r="CV85" s="269"/>
      <c r="CW85" s="269"/>
      <c r="CX85" s="269"/>
      <c r="CY85" s="269"/>
      <c r="CZ85" s="270"/>
      <c r="DA85" s="268"/>
      <c r="DB85" s="269"/>
      <c r="DC85" s="269"/>
      <c r="DD85" s="269"/>
      <c r="DE85" s="269"/>
      <c r="DF85" s="269"/>
      <c r="DG85" s="269"/>
      <c r="DH85" s="269"/>
      <c r="DI85" s="270"/>
      <c r="DJ85" s="371"/>
      <c r="DK85" s="363"/>
      <c r="DL85" s="363"/>
      <c r="DM85" s="372"/>
      <c r="DN85" s="84"/>
    </row>
    <row r="86" spans="2:124" s="44" customFormat="1" ht="12.75">
      <c r="B86" s="39"/>
      <c r="C86" s="40" t="s">
        <v>36</v>
      </c>
      <c r="D86" s="89">
        <v>0</v>
      </c>
      <c r="E86" s="77">
        <v>313</v>
      </c>
      <c r="F86" s="42">
        <v>0</v>
      </c>
      <c r="G86" s="42">
        <v>0</v>
      </c>
      <c r="H86" s="43">
        <v>0</v>
      </c>
      <c r="I86" s="41">
        <v>0</v>
      </c>
      <c r="J86" s="42">
        <v>95.2</v>
      </c>
      <c r="K86" s="42">
        <v>0</v>
      </c>
      <c r="L86" s="42">
        <v>0</v>
      </c>
      <c r="M86" s="42">
        <v>0</v>
      </c>
      <c r="N86" s="42">
        <v>0</v>
      </c>
      <c r="O86" s="43">
        <v>0</v>
      </c>
      <c r="P86" s="41">
        <f>SUM(D86,E86,I86,J86)</f>
        <v>408.2</v>
      </c>
      <c r="Q86" s="42">
        <f>SUM(D86,I86)+SUM(F86,K86,M86)*-1</f>
        <v>0</v>
      </c>
      <c r="R86" s="53">
        <f>SUM(P86-Q86)</f>
        <v>408.2</v>
      </c>
      <c r="S86" s="74">
        <v>0</v>
      </c>
      <c r="T86" s="75">
        <v>5.3</v>
      </c>
      <c r="U86" s="75">
        <v>0</v>
      </c>
      <c r="V86" s="75">
        <v>0</v>
      </c>
      <c r="W86" s="76">
        <v>0</v>
      </c>
      <c r="X86" s="74">
        <v>0</v>
      </c>
      <c r="Y86" s="78">
        <v>3.7</v>
      </c>
      <c r="Z86" s="75">
        <v>0</v>
      </c>
      <c r="AA86" s="75">
        <v>0</v>
      </c>
      <c r="AB86" s="76">
        <v>0</v>
      </c>
      <c r="AC86" s="74">
        <v>0</v>
      </c>
      <c r="AD86" s="77">
        <v>2.8</v>
      </c>
      <c r="AE86" s="75">
        <v>0</v>
      </c>
      <c r="AF86" s="75">
        <v>0</v>
      </c>
      <c r="AG86" s="98">
        <v>0</v>
      </c>
      <c r="AH86" s="74">
        <v>0</v>
      </c>
      <c r="AI86" s="77">
        <v>0</v>
      </c>
      <c r="AJ86" s="75">
        <v>0</v>
      </c>
      <c r="AK86" s="75">
        <v>0</v>
      </c>
      <c r="AL86" s="98">
        <v>0</v>
      </c>
      <c r="AM86" s="98">
        <v>0</v>
      </c>
      <c r="AN86" s="98">
        <v>0</v>
      </c>
      <c r="AO86" s="98">
        <v>0</v>
      </c>
      <c r="AP86" s="76">
        <v>0</v>
      </c>
      <c r="AQ86" s="91">
        <f>SUM(P86,S86,T86,V86,X86,Y86,AA86,AC86,AD86,AF86,AH86,AI86,AK86)-0.24</f>
        <v>419.76</v>
      </c>
      <c r="AR86" s="78">
        <f>SUM(Q86)+(S86+X86+AC86+AH86)+SUM((U86+Z86+AE86+AJ86)*-1)</f>
        <v>0</v>
      </c>
      <c r="AS86" s="78">
        <f>SUM(AQ86-AR86)</f>
        <v>419.76</v>
      </c>
      <c r="AT86" s="92">
        <f>SUM(AP86)</f>
        <v>0</v>
      </c>
      <c r="AU86" s="74">
        <v>0</v>
      </c>
      <c r="AV86" s="77">
        <v>0</v>
      </c>
      <c r="AW86" s="75">
        <v>0</v>
      </c>
      <c r="AX86" s="75">
        <v>0</v>
      </c>
      <c r="AY86" s="98">
        <v>0</v>
      </c>
      <c r="AZ86" s="98">
        <v>0</v>
      </c>
      <c r="BA86" s="98">
        <v>0</v>
      </c>
      <c r="BB86" s="98">
        <v>0</v>
      </c>
      <c r="BC86" s="76">
        <v>0</v>
      </c>
      <c r="BD86" s="278">
        <v>0</v>
      </c>
      <c r="BE86" s="279">
        <v>0</v>
      </c>
      <c r="BF86" s="280">
        <v>0</v>
      </c>
      <c r="BG86" s="280">
        <v>0</v>
      </c>
      <c r="BH86" s="281">
        <v>0</v>
      </c>
      <c r="BI86" s="281">
        <v>0</v>
      </c>
      <c r="BJ86" s="281">
        <v>0</v>
      </c>
      <c r="BK86" s="281">
        <v>0</v>
      </c>
      <c r="BL86" s="282">
        <v>0</v>
      </c>
      <c r="BM86" s="278">
        <v>0</v>
      </c>
      <c r="BN86" s="279">
        <v>0</v>
      </c>
      <c r="BO86" s="280">
        <v>0</v>
      </c>
      <c r="BP86" s="280">
        <v>0</v>
      </c>
      <c r="BQ86" s="281">
        <v>0</v>
      </c>
      <c r="BR86" s="281">
        <v>0</v>
      </c>
      <c r="BS86" s="281">
        <v>0</v>
      </c>
      <c r="BT86" s="281">
        <v>0</v>
      </c>
      <c r="BU86" s="282">
        <v>0</v>
      </c>
      <c r="BV86" s="278">
        <v>0</v>
      </c>
      <c r="BW86" s="279">
        <v>0</v>
      </c>
      <c r="BX86" s="280">
        <v>0</v>
      </c>
      <c r="BY86" s="280">
        <v>0</v>
      </c>
      <c r="BZ86" s="281">
        <v>0</v>
      </c>
      <c r="CA86" s="281">
        <v>0</v>
      </c>
      <c r="CB86" s="281">
        <v>0</v>
      </c>
      <c r="CC86" s="281">
        <v>0</v>
      </c>
      <c r="CD86" s="282">
        <v>0</v>
      </c>
      <c r="CE86" s="318">
        <f>SUM(AQ86,AU86,AV86,AX86,BD86,BE86,BG86,BM86,BN86,BP86)</f>
        <v>419.76</v>
      </c>
      <c r="CF86" s="319">
        <f>SUM(AR86-AW86-BF86-BO86)</f>
        <v>0</v>
      </c>
      <c r="CG86" s="319">
        <f>SUM(CE86-CF86)</f>
        <v>419.76</v>
      </c>
      <c r="CH86" s="320">
        <f>SUM(BU86)</f>
        <v>0</v>
      </c>
      <c r="CI86" s="278">
        <v>0</v>
      </c>
      <c r="CJ86" s="279">
        <v>0</v>
      </c>
      <c r="CK86" s="280">
        <v>0</v>
      </c>
      <c r="CL86" s="280">
        <v>0</v>
      </c>
      <c r="CM86" s="340">
        <f>SUM(CG86,CJ86,CK86,CL86)</f>
        <v>419.76</v>
      </c>
      <c r="CN86" s="281">
        <v>0</v>
      </c>
      <c r="CO86" s="281">
        <v>0</v>
      </c>
      <c r="CP86" s="281">
        <v>0</v>
      </c>
      <c r="CQ86" s="282">
        <v>0</v>
      </c>
      <c r="CR86" s="278">
        <v>0</v>
      </c>
      <c r="CS86" s="279">
        <v>0</v>
      </c>
      <c r="CT86" s="280">
        <v>0</v>
      </c>
      <c r="CU86" s="280">
        <v>0</v>
      </c>
      <c r="CV86" s="340">
        <f>SUM(CM86,CS86,CT86,CU86)</f>
        <v>419.76</v>
      </c>
      <c r="CW86" s="281">
        <v>0</v>
      </c>
      <c r="CX86" s="281">
        <v>0</v>
      </c>
      <c r="CY86" s="281">
        <v>0</v>
      </c>
      <c r="CZ86" s="282">
        <v>0</v>
      </c>
      <c r="DA86" s="278">
        <v>0</v>
      </c>
      <c r="DB86" s="279">
        <v>0</v>
      </c>
      <c r="DC86" s="280">
        <v>0</v>
      </c>
      <c r="DD86" s="280">
        <v>0</v>
      </c>
      <c r="DE86" s="340">
        <f>SUM(CV86,DB86,DC86,DD86)</f>
        <v>419.76</v>
      </c>
      <c r="DF86" s="281">
        <v>0</v>
      </c>
      <c r="DG86" s="281">
        <v>0</v>
      </c>
      <c r="DH86" s="281">
        <v>0</v>
      </c>
      <c r="DI86" s="282">
        <v>0</v>
      </c>
      <c r="DJ86" s="356">
        <f>SUM(CE86,CI86,CJ86,CN86,CL86,CP86,CR86,CS86,CU86,CW86,CY86,DA86,DB86,DD86,DF86,DH86)</f>
        <v>419.76</v>
      </c>
      <c r="DK86" s="279">
        <f>SUM(CF86+CI86-CK86-CO86+CR86-CT86-CX86+DA86-DC86-DG86)</f>
        <v>0</v>
      </c>
      <c r="DL86" s="279">
        <f>SUM(DJ86-DK86)</f>
        <v>419.76</v>
      </c>
      <c r="DM86" s="320">
        <f>SUM(DI86)</f>
        <v>0</v>
      </c>
      <c r="DN86" s="84"/>
      <c r="DO86" s="156"/>
      <c r="DP86" s="156"/>
      <c r="DQ86" s="156"/>
      <c r="DR86" s="156"/>
      <c r="DS86" s="156"/>
      <c r="DT86" s="156"/>
    </row>
    <row r="87" spans="2:124" s="44" customFormat="1" ht="12.75">
      <c r="B87" s="39"/>
      <c r="C87" s="40" t="s">
        <v>37</v>
      </c>
      <c r="D87" s="89">
        <v>0</v>
      </c>
      <c r="E87" s="77">
        <v>7012.4</v>
      </c>
      <c r="F87" s="42">
        <v>0</v>
      </c>
      <c r="G87" s="42">
        <v>0</v>
      </c>
      <c r="H87" s="43">
        <v>0</v>
      </c>
      <c r="I87" s="41">
        <v>0</v>
      </c>
      <c r="J87" s="42">
        <f>5894.1-E87-408.2-132-238-2140.9</f>
        <v>-4037.3999999999996</v>
      </c>
      <c r="K87" s="42">
        <v>0</v>
      </c>
      <c r="L87" s="42">
        <v>0</v>
      </c>
      <c r="M87" s="42">
        <v>0</v>
      </c>
      <c r="N87" s="42">
        <v>0</v>
      </c>
      <c r="O87" s="43">
        <v>0</v>
      </c>
      <c r="P87" s="41">
        <f>SUM(D87,E87,I87,J87)</f>
        <v>2975</v>
      </c>
      <c r="Q87" s="42">
        <f>SUM(D87,I87)+SUM(F87,K87,M87)*-1</f>
        <v>0</v>
      </c>
      <c r="R87" s="53">
        <f>SUM(P87-Q87)</f>
        <v>2975</v>
      </c>
      <c r="S87" s="74">
        <v>0</v>
      </c>
      <c r="T87" s="77">
        <f>-T82</f>
        <v>-485.1</v>
      </c>
      <c r="U87" s="75">
        <v>0</v>
      </c>
      <c r="V87" s="75">
        <v>0</v>
      </c>
      <c r="W87" s="76">
        <v>0</v>
      </c>
      <c r="X87" s="74">
        <v>0</v>
      </c>
      <c r="Y87" s="77">
        <f>-Y82</f>
        <v>-13</v>
      </c>
      <c r="Z87" s="75">
        <v>0</v>
      </c>
      <c r="AA87" s="75">
        <v>0</v>
      </c>
      <c r="AB87" s="76">
        <v>0</v>
      </c>
      <c r="AC87" s="74">
        <v>0</v>
      </c>
      <c r="AD87" s="77">
        <f>-AD82</f>
        <v>-726.96</v>
      </c>
      <c r="AE87" s="75">
        <v>0</v>
      </c>
      <c r="AF87" s="75">
        <v>0</v>
      </c>
      <c r="AG87" s="98">
        <v>0</v>
      </c>
      <c r="AH87" s="74">
        <v>0</v>
      </c>
      <c r="AI87" s="77">
        <f>-AI82</f>
        <v>34.04899999999998</v>
      </c>
      <c r="AJ87" s="75">
        <v>0</v>
      </c>
      <c r="AK87" s="75">
        <v>0</v>
      </c>
      <c r="AL87" s="98">
        <v>0</v>
      </c>
      <c r="AM87" s="77">
        <f>-AM82</f>
        <v>0</v>
      </c>
      <c r="AN87" s="98">
        <v>0</v>
      </c>
      <c r="AO87" s="98">
        <v>0</v>
      </c>
      <c r="AP87" s="76">
        <v>0</v>
      </c>
      <c r="AQ87" s="91">
        <f>SUM(P87,S87,T87,V87,X87,Y87,AA87,AC87,AD87,AF87,AH87,AI87,AK87)</f>
        <v>1783.989</v>
      </c>
      <c r="AR87" s="78">
        <f>SUM(Q87)+(S87+X87+AC87+AH87)+SUM((U87+Z87+AE87+AJ87)*-1)</f>
        <v>0</v>
      </c>
      <c r="AS87" s="78">
        <f>SUM(AQ87-AR87)</f>
        <v>1783.989</v>
      </c>
      <c r="AT87" s="92">
        <f>SUM(AP87)</f>
        <v>0</v>
      </c>
      <c r="AU87" s="74">
        <v>0</v>
      </c>
      <c r="AV87" s="77">
        <f>-AV82</f>
        <v>-491.671</v>
      </c>
      <c r="AW87" s="75">
        <v>0</v>
      </c>
      <c r="AX87" s="77">
        <f>-AX82</f>
        <v>83.78649200000001</v>
      </c>
      <c r="AY87" s="98">
        <v>0</v>
      </c>
      <c r="AZ87" s="77">
        <f>-AZ82</f>
        <v>-84.267492</v>
      </c>
      <c r="BA87" s="98">
        <v>0</v>
      </c>
      <c r="BB87" s="98">
        <v>0</v>
      </c>
      <c r="BC87" s="76">
        <v>0</v>
      </c>
      <c r="BD87" s="278">
        <v>0</v>
      </c>
      <c r="BE87" s="279">
        <f>-BE82</f>
        <v>-1419.144</v>
      </c>
      <c r="BF87" s="280">
        <v>0</v>
      </c>
      <c r="BG87" s="279">
        <f>-BG82</f>
        <v>0</v>
      </c>
      <c r="BH87" s="281">
        <v>0</v>
      </c>
      <c r="BI87" s="279">
        <f>-BI82</f>
        <v>0</v>
      </c>
      <c r="BJ87" s="281">
        <v>0</v>
      </c>
      <c r="BK87" s="281">
        <v>0</v>
      </c>
      <c r="BL87" s="282">
        <v>0</v>
      </c>
      <c r="BM87" s="278">
        <v>0</v>
      </c>
      <c r="BN87" s="279">
        <f>-BN82</f>
        <v>402.2968</v>
      </c>
      <c r="BO87" s="280">
        <v>0</v>
      </c>
      <c r="BP87" s="279">
        <f>-BP82</f>
        <v>0</v>
      </c>
      <c r="BQ87" s="281">
        <v>0</v>
      </c>
      <c r="BR87" s="279">
        <f>-BR82</f>
        <v>0</v>
      </c>
      <c r="BS87" s="281">
        <v>0</v>
      </c>
      <c r="BT87" s="281">
        <v>0</v>
      </c>
      <c r="BU87" s="282">
        <v>0</v>
      </c>
      <c r="BV87" s="278">
        <v>0</v>
      </c>
      <c r="BW87" s="279">
        <f>-BW82</f>
        <v>-33.120670000000004</v>
      </c>
      <c r="BX87" s="280">
        <v>0</v>
      </c>
      <c r="BY87" s="279">
        <f>-BY82</f>
        <v>0</v>
      </c>
      <c r="BZ87" s="281">
        <v>0</v>
      </c>
      <c r="CA87" s="279">
        <f>-CA82</f>
        <v>0</v>
      </c>
      <c r="CB87" s="281">
        <v>0</v>
      </c>
      <c r="CC87" s="281">
        <v>0</v>
      </c>
      <c r="CD87" s="282">
        <v>0</v>
      </c>
      <c r="CE87" s="318">
        <f>SUM(AQ87,AU87,AV87,AX87,BD87,BE87,BG87,BM87,BN87,BP87,AZ87,BW87)</f>
        <v>241.86912999999993</v>
      </c>
      <c r="CF87" s="321">
        <f>SUM(AR87,AW87,BF87)</f>
        <v>0</v>
      </c>
      <c r="CG87" s="321">
        <f>SUM(CE87-CF87)</f>
        <v>241.86912999999993</v>
      </c>
      <c r="CH87" s="320">
        <f>SUM(BC87)</f>
        <v>0</v>
      </c>
      <c r="CI87" s="278">
        <v>0</v>
      </c>
      <c r="CJ87" s="279">
        <f>-CJ82</f>
        <v>-3.717479</v>
      </c>
      <c r="CK87" s="280">
        <v>0</v>
      </c>
      <c r="CL87" s="279">
        <f>-CL82</f>
        <v>0</v>
      </c>
      <c r="CM87" s="340">
        <f>SUM(CG87,CJ87,CK87,CL87)</f>
        <v>238.15165099999993</v>
      </c>
      <c r="CN87" s="279">
        <f>-CN82</f>
        <v>0</v>
      </c>
      <c r="CO87" s="281">
        <v>0</v>
      </c>
      <c r="CP87" s="281">
        <v>0</v>
      </c>
      <c r="CQ87" s="282">
        <v>0</v>
      </c>
      <c r="CR87" s="278">
        <v>0</v>
      </c>
      <c r="CS87" s="279">
        <f>-CS82</f>
        <v>-2.064239999999998</v>
      </c>
      <c r="CT87" s="280">
        <v>0</v>
      </c>
      <c r="CU87" s="279">
        <f>-CU82</f>
        <v>0</v>
      </c>
      <c r="CV87" s="340">
        <f>SUM(CM87,CS87,CT87,CU87)</f>
        <v>236.08741099999992</v>
      </c>
      <c r="CW87" s="279">
        <f>-CW82</f>
        <v>0</v>
      </c>
      <c r="CX87" s="281">
        <v>0</v>
      </c>
      <c r="CY87" s="281">
        <v>0</v>
      </c>
      <c r="CZ87" s="282">
        <v>0</v>
      </c>
      <c r="DA87" s="278">
        <v>0</v>
      </c>
      <c r="DB87" s="279">
        <f>-DB82</f>
        <v>-680.9200000000001</v>
      </c>
      <c r="DC87" s="280">
        <v>0</v>
      </c>
      <c r="DD87" s="279">
        <f>-DD82</f>
        <v>25.073</v>
      </c>
      <c r="DE87" s="340">
        <f>SUM(CV87,DB87,DC87,DD87)</f>
        <v>-419.7595890000002</v>
      </c>
      <c r="DF87" s="279">
        <f>-DF82</f>
        <v>0</v>
      </c>
      <c r="DG87" s="281">
        <v>0</v>
      </c>
      <c r="DH87" s="281">
        <v>0</v>
      </c>
      <c r="DI87" s="282">
        <v>0</v>
      </c>
      <c r="DJ87" s="356">
        <f>SUM(CE87,CI87,CJ87,CN87,CL87,CP87,CR87,CS87,CU87,CW87,CY87,DA87,DB87,DD87,DF87,DH87)</f>
        <v>-419.7595890000002</v>
      </c>
      <c r="DK87" s="279">
        <f>SUM(CF87+CI87-CK87-CO87+CR87-CT87-CX87+DA87-DC87-DG87)</f>
        <v>0</v>
      </c>
      <c r="DL87" s="279">
        <f>SUM(DJ87-DK87)</f>
        <v>-419.7595890000002</v>
      </c>
      <c r="DM87" s="320">
        <f>SUM(DI87)</f>
        <v>0</v>
      </c>
      <c r="DN87" s="84"/>
      <c r="DO87" s="156"/>
      <c r="DP87" s="156"/>
      <c r="DQ87" s="156"/>
      <c r="DR87" s="156"/>
      <c r="DS87" s="156"/>
      <c r="DT87" s="156"/>
    </row>
    <row r="88" spans="2:124" s="1" customFormat="1" ht="12.75">
      <c r="B88" s="9" t="s">
        <v>16</v>
      </c>
      <c r="C88" s="31" t="s">
        <v>46</v>
      </c>
      <c r="D88" s="15">
        <f>SUM(D86:D87)</f>
        <v>0</v>
      </c>
      <c r="E88" s="16">
        <f aca="true" t="shared" si="155" ref="E88:O88">SUM(E86:E87)</f>
        <v>7325.4</v>
      </c>
      <c r="F88" s="16">
        <f t="shared" si="155"/>
        <v>0</v>
      </c>
      <c r="G88" s="16">
        <f t="shared" si="155"/>
        <v>0</v>
      </c>
      <c r="H88" s="14">
        <f t="shared" si="155"/>
        <v>0</v>
      </c>
      <c r="I88" s="15">
        <f t="shared" si="155"/>
        <v>0</v>
      </c>
      <c r="J88" s="16">
        <f t="shared" si="155"/>
        <v>-3942.2</v>
      </c>
      <c r="K88" s="16">
        <f t="shared" si="155"/>
        <v>0</v>
      </c>
      <c r="L88" s="16">
        <f t="shared" si="155"/>
        <v>0</v>
      </c>
      <c r="M88" s="16">
        <f t="shared" si="155"/>
        <v>0</v>
      </c>
      <c r="N88" s="16">
        <f t="shared" si="155"/>
        <v>0</v>
      </c>
      <c r="O88" s="14">
        <f t="shared" si="155"/>
        <v>0</v>
      </c>
      <c r="P88" s="15">
        <f aca="true" t="shared" si="156" ref="P88:AP88">SUM(P86:P87)</f>
        <v>3383.2</v>
      </c>
      <c r="Q88" s="16">
        <f t="shared" si="156"/>
        <v>0</v>
      </c>
      <c r="R88" s="14">
        <f t="shared" si="156"/>
        <v>3383.2</v>
      </c>
      <c r="S88" s="67">
        <f t="shared" si="156"/>
        <v>0</v>
      </c>
      <c r="T88" s="16">
        <f t="shared" si="156"/>
        <v>-479.8</v>
      </c>
      <c r="U88" s="70">
        <f t="shared" si="156"/>
        <v>0</v>
      </c>
      <c r="V88" s="70">
        <f t="shared" si="156"/>
        <v>0</v>
      </c>
      <c r="W88" s="59">
        <f t="shared" si="156"/>
        <v>0</v>
      </c>
      <c r="X88" s="67">
        <f t="shared" si="156"/>
        <v>0</v>
      </c>
      <c r="Y88" s="16">
        <f t="shared" si="156"/>
        <v>-9.3</v>
      </c>
      <c r="Z88" s="70">
        <f t="shared" si="156"/>
        <v>0</v>
      </c>
      <c r="AA88" s="70">
        <f t="shared" si="156"/>
        <v>0</v>
      </c>
      <c r="AB88" s="59">
        <f t="shared" si="156"/>
        <v>0</v>
      </c>
      <c r="AC88" s="67">
        <f t="shared" si="156"/>
        <v>0</v>
      </c>
      <c r="AD88" s="16">
        <f t="shared" si="156"/>
        <v>-724.1600000000001</v>
      </c>
      <c r="AE88" s="70">
        <f t="shared" si="156"/>
        <v>0</v>
      </c>
      <c r="AF88" s="70">
        <f t="shared" si="156"/>
        <v>0</v>
      </c>
      <c r="AG88" s="70">
        <f t="shared" si="156"/>
        <v>0</v>
      </c>
      <c r="AH88" s="67">
        <f t="shared" si="156"/>
        <v>0</v>
      </c>
      <c r="AI88" s="16">
        <f t="shared" si="156"/>
        <v>34.04899999999998</v>
      </c>
      <c r="AJ88" s="70">
        <f t="shared" si="156"/>
        <v>0</v>
      </c>
      <c r="AK88" s="70">
        <f t="shared" si="156"/>
        <v>0</v>
      </c>
      <c r="AL88" s="70">
        <f t="shared" si="156"/>
        <v>0</v>
      </c>
      <c r="AM88" s="16">
        <f t="shared" si="156"/>
        <v>0</v>
      </c>
      <c r="AN88" s="16">
        <f t="shared" si="156"/>
        <v>0</v>
      </c>
      <c r="AO88" s="16">
        <f>SUM(AO86:AO87)</f>
        <v>0</v>
      </c>
      <c r="AP88" s="14">
        <f t="shared" si="156"/>
        <v>0</v>
      </c>
      <c r="AQ88" s="67">
        <f>SUM(AQ86:AQ87)</f>
        <v>2203.749</v>
      </c>
      <c r="AR88" s="70">
        <f>SUM(AR86:AR87)</f>
        <v>0</v>
      </c>
      <c r="AS88" s="70">
        <f>SUM(AS86:AS87)</f>
        <v>2203.749</v>
      </c>
      <c r="AT88" s="14">
        <f>SUM(AP88)</f>
        <v>0</v>
      </c>
      <c r="AU88" s="67">
        <f aca="true" t="shared" si="157" ref="AU88:BA88">SUM(AU86:AU87)</f>
        <v>0</v>
      </c>
      <c r="AV88" s="16">
        <f t="shared" si="157"/>
        <v>-491.671</v>
      </c>
      <c r="AW88" s="70">
        <f t="shared" si="157"/>
        <v>0</v>
      </c>
      <c r="AX88" s="70">
        <f t="shared" si="157"/>
        <v>83.78649200000001</v>
      </c>
      <c r="AY88" s="70">
        <f t="shared" si="157"/>
        <v>0</v>
      </c>
      <c r="AZ88" s="16">
        <f t="shared" si="157"/>
        <v>-84.267492</v>
      </c>
      <c r="BA88" s="16">
        <f t="shared" si="157"/>
        <v>0</v>
      </c>
      <c r="BB88" s="16">
        <f>SUM(BB86:BB87)</f>
        <v>0</v>
      </c>
      <c r="BC88" s="14">
        <f>SUM(BC86:BC87)</f>
        <v>0</v>
      </c>
      <c r="BD88" s="283">
        <f aca="true" t="shared" si="158" ref="BD88:BJ88">SUM(BD86:BD87)</f>
        <v>0</v>
      </c>
      <c r="BE88" s="284">
        <f t="shared" si="158"/>
        <v>-1419.144</v>
      </c>
      <c r="BF88" s="258">
        <f t="shared" si="158"/>
        <v>0</v>
      </c>
      <c r="BG88" s="258">
        <f t="shared" si="158"/>
        <v>0</v>
      </c>
      <c r="BH88" s="258">
        <f t="shared" si="158"/>
        <v>0</v>
      </c>
      <c r="BI88" s="284">
        <f t="shared" si="158"/>
        <v>0</v>
      </c>
      <c r="BJ88" s="284">
        <f t="shared" si="158"/>
        <v>0</v>
      </c>
      <c r="BK88" s="284">
        <f>SUM(BK86:BK87)</f>
        <v>0</v>
      </c>
      <c r="BL88" s="162">
        <f>SUM(BL86:BL87)</f>
        <v>0</v>
      </c>
      <c r="BM88" s="283">
        <f aca="true" t="shared" si="159" ref="BM88:BS88">SUM(BM86:BM87)</f>
        <v>0</v>
      </c>
      <c r="BN88" s="284">
        <f t="shared" si="159"/>
        <v>402.2968</v>
      </c>
      <c r="BO88" s="258">
        <f t="shared" si="159"/>
        <v>0</v>
      </c>
      <c r="BP88" s="258">
        <f t="shared" si="159"/>
        <v>0</v>
      </c>
      <c r="BQ88" s="258">
        <f t="shared" si="159"/>
        <v>0</v>
      </c>
      <c r="BR88" s="284">
        <f t="shared" si="159"/>
        <v>0</v>
      </c>
      <c r="BS88" s="284">
        <f t="shared" si="159"/>
        <v>0</v>
      </c>
      <c r="BT88" s="284">
        <f>SUM(BT86:BT87)</f>
        <v>0</v>
      </c>
      <c r="BU88" s="162">
        <f>SUM(BU86:BU87)</f>
        <v>0</v>
      </c>
      <c r="BV88" s="283">
        <f aca="true" t="shared" si="160" ref="BV88:CB88">SUM(BV86:BV87)</f>
        <v>0</v>
      </c>
      <c r="BW88" s="284">
        <f t="shared" si="160"/>
        <v>-33.120670000000004</v>
      </c>
      <c r="BX88" s="258">
        <f t="shared" si="160"/>
        <v>0</v>
      </c>
      <c r="BY88" s="258">
        <f t="shared" si="160"/>
        <v>0</v>
      </c>
      <c r="BZ88" s="258">
        <f t="shared" si="160"/>
        <v>0</v>
      </c>
      <c r="CA88" s="284">
        <f t="shared" si="160"/>
        <v>0</v>
      </c>
      <c r="CB88" s="284">
        <f t="shared" si="160"/>
        <v>0</v>
      </c>
      <c r="CC88" s="284">
        <f>SUM(CC86:CC87)</f>
        <v>0</v>
      </c>
      <c r="CD88" s="162">
        <f>SUM(CD86:CD87)</f>
        <v>0</v>
      </c>
      <c r="CE88" s="283">
        <f>SUM(CE86:CE87)</f>
        <v>661.6291299999999</v>
      </c>
      <c r="CF88" s="258">
        <f>SUM(CF86:CF87)</f>
        <v>0</v>
      </c>
      <c r="CG88" s="258">
        <f>SUM(CG86:CG87)</f>
        <v>661.6291299999999</v>
      </c>
      <c r="CH88" s="162">
        <f>SUM(BC88)</f>
        <v>0</v>
      </c>
      <c r="CI88" s="283">
        <f aca="true" t="shared" si="161" ref="CI88:CO88">SUM(CI86:CI87)</f>
        <v>0</v>
      </c>
      <c r="CJ88" s="284">
        <f t="shared" si="161"/>
        <v>-3.717479</v>
      </c>
      <c r="CK88" s="258">
        <f t="shared" si="161"/>
        <v>0</v>
      </c>
      <c r="CL88" s="258">
        <f t="shared" si="161"/>
        <v>0</v>
      </c>
      <c r="CM88" s="258">
        <f t="shared" si="161"/>
        <v>657.9116509999999</v>
      </c>
      <c r="CN88" s="284">
        <f t="shared" si="161"/>
        <v>0</v>
      </c>
      <c r="CO88" s="284">
        <f t="shared" si="161"/>
        <v>0</v>
      </c>
      <c r="CP88" s="284">
        <f>SUM(CP86:CP87)</f>
        <v>0</v>
      </c>
      <c r="CQ88" s="162">
        <f>SUM(CQ86:CQ87)</f>
        <v>0</v>
      </c>
      <c r="CR88" s="283">
        <f aca="true" t="shared" si="162" ref="CR88:CX88">SUM(CR86:CR87)</f>
        <v>0</v>
      </c>
      <c r="CS88" s="284">
        <f t="shared" si="162"/>
        <v>-2.064239999999998</v>
      </c>
      <c r="CT88" s="258">
        <f t="shared" si="162"/>
        <v>0</v>
      </c>
      <c r="CU88" s="258">
        <f t="shared" si="162"/>
        <v>0</v>
      </c>
      <c r="CV88" s="258">
        <f t="shared" si="162"/>
        <v>655.847411</v>
      </c>
      <c r="CW88" s="284">
        <f t="shared" si="162"/>
        <v>0</v>
      </c>
      <c r="CX88" s="284">
        <f t="shared" si="162"/>
        <v>0</v>
      </c>
      <c r="CY88" s="284">
        <f>SUM(CY86:CY87)</f>
        <v>0</v>
      </c>
      <c r="CZ88" s="162">
        <f>SUM(CZ86:CZ87)</f>
        <v>0</v>
      </c>
      <c r="DA88" s="283">
        <f aca="true" t="shared" si="163" ref="DA88:DG88">SUM(DA86:DA87)</f>
        <v>0</v>
      </c>
      <c r="DB88" s="284">
        <f t="shared" si="163"/>
        <v>-680.9200000000001</v>
      </c>
      <c r="DC88" s="258">
        <f t="shared" si="163"/>
        <v>0</v>
      </c>
      <c r="DD88" s="258">
        <f t="shared" si="163"/>
        <v>25.073</v>
      </c>
      <c r="DE88" s="258">
        <f t="shared" si="163"/>
        <v>0.00041099999981497604</v>
      </c>
      <c r="DF88" s="284">
        <f t="shared" si="163"/>
        <v>0</v>
      </c>
      <c r="DG88" s="284">
        <f t="shared" si="163"/>
        <v>0</v>
      </c>
      <c r="DH88" s="284">
        <f aca="true" t="shared" si="164" ref="DH88:DM88">SUM(DH86:DH87)</f>
        <v>0</v>
      </c>
      <c r="DI88" s="162">
        <f t="shared" si="164"/>
        <v>0</v>
      </c>
      <c r="DJ88" s="285">
        <f t="shared" si="164"/>
        <v>0.00041099999981497604</v>
      </c>
      <c r="DK88" s="284">
        <f t="shared" si="164"/>
        <v>0</v>
      </c>
      <c r="DL88" s="284">
        <f t="shared" si="164"/>
        <v>0.00041099999981497604</v>
      </c>
      <c r="DM88" s="162">
        <f t="shared" si="164"/>
        <v>0</v>
      </c>
      <c r="DN88" s="84"/>
      <c r="DO88" s="152"/>
      <c r="DP88" s="152"/>
      <c r="DQ88" s="152"/>
      <c r="DR88" s="152"/>
      <c r="DS88" s="152"/>
      <c r="DT88" s="152"/>
    </row>
    <row r="89" spans="2:124" s="1" customFormat="1" ht="12.75">
      <c r="B89" s="9" t="s">
        <v>45</v>
      </c>
      <c r="C89" s="31" t="s">
        <v>11</v>
      </c>
      <c r="D89" s="15">
        <v>0</v>
      </c>
      <c r="E89" s="16">
        <v>-590.132</v>
      </c>
      <c r="F89" s="16">
        <v>0</v>
      </c>
      <c r="G89" s="16">
        <v>0</v>
      </c>
      <c r="H89" s="14">
        <v>0</v>
      </c>
      <c r="I89" s="15">
        <f>-4087.5-1100-75-250-4.2</f>
        <v>-5516.7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4">
        <v>0</v>
      </c>
      <c r="P89" s="15">
        <f>SUM(D89,E89,I89,J89)</f>
        <v>-6106.831999999999</v>
      </c>
      <c r="Q89" s="16">
        <f>SUM(D89,I89)+SUM(F89,K89,M89)*-1</f>
        <v>-5516.7</v>
      </c>
      <c r="R89" s="14">
        <f>SUM(P89-Q89)</f>
        <v>-590.1319999999996</v>
      </c>
      <c r="S89" s="67">
        <v>0</v>
      </c>
      <c r="T89" s="70">
        <v>0</v>
      </c>
      <c r="U89" s="70">
        <v>0</v>
      </c>
      <c r="V89" s="70">
        <v>0</v>
      </c>
      <c r="W89" s="59">
        <v>0</v>
      </c>
      <c r="X89" s="67">
        <v>0</v>
      </c>
      <c r="Y89" s="70">
        <v>0</v>
      </c>
      <c r="Z89" s="70">
        <v>0</v>
      </c>
      <c r="AA89" s="70">
        <v>0</v>
      </c>
      <c r="AB89" s="59">
        <v>0</v>
      </c>
      <c r="AC89" s="67">
        <f>-57.51-26.75</f>
        <v>-84.25999999999999</v>
      </c>
      <c r="AD89" s="70">
        <v>0</v>
      </c>
      <c r="AE89" s="70">
        <v>0</v>
      </c>
      <c r="AF89" s="70">
        <v>0</v>
      </c>
      <c r="AG89" s="70">
        <v>0</v>
      </c>
      <c r="AH89" s="15">
        <v>-61</v>
      </c>
      <c r="AI89" s="70">
        <v>0</v>
      </c>
      <c r="AJ89" s="70">
        <v>0</v>
      </c>
      <c r="AK89" s="70">
        <v>0</v>
      </c>
      <c r="AL89" s="70">
        <v>0</v>
      </c>
      <c r="AM89" s="70">
        <v>0</v>
      </c>
      <c r="AN89" s="70">
        <v>0</v>
      </c>
      <c r="AO89" s="70">
        <v>0</v>
      </c>
      <c r="AP89" s="59">
        <v>0</v>
      </c>
      <c r="AQ89" s="67">
        <f>SUM(P89,S89,T89,V89,X89,Y89,AA89,AC89,AD89,AF89,AH89,AI89,AK89)</f>
        <v>-6252.092</v>
      </c>
      <c r="AR89" s="70">
        <f>SUM(AQ89)</f>
        <v>-6252.092</v>
      </c>
      <c r="AS89" s="70">
        <f>SUM(AQ89-AR89)</f>
        <v>0</v>
      </c>
      <c r="AT89" s="14">
        <f>SUM(AP89)</f>
        <v>0</v>
      </c>
      <c r="AU89" s="15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70">
        <v>0</v>
      </c>
      <c r="BB89" s="70">
        <v>0</v>
      </c>
      <c r="BC89" s="59">
        <v>0</v>
      </c>
      <c r="BD89" s="285">
        <v>-18.99</v>
      </c>
      <c r="BE89" s="258">
        <v>0</v>
      </c>
      <c r="BF89" s="258">
        <v>0</v>
      </c>
      <c r="BG89" s="258">
        <v>0</v>
      </c>
      <c r="BH89" s="258">
        <v>0</v>
      </c>
      <c r="BI89" s="258">
        <v>0</v>
      </c>
      <c r="BJ89" s="258">
        <v>0</v>
      </c>
      <c r="BK89" s="258">
        <v>0</v>
      </c>
      <c r="BL89" s="259">
        <v>0</v>
      </c>
      <c r="BM89" s="285">
        <v>0</v>
      </c>
      <c r="BN89" s="258">
        <v>0</v>
      </c>
      <c r="BO89" s="258">
        <v>0</v>
      </c>
      <c r="BP89" s="258">
        <v>0</v>
      </c>
      <c r="BQ89" s="258">
        <v>0</v>
      </c>
      <c r="BR89" s="258">
        <v>0</v>
      </c>
      <c r="BS89" s="258">
        <v>0</v>
      </c>
      <c r="BT89" s="258">
        <v>0</v>
      </c>
      <c r="BU89" s="259">
        <v>0</v>
      </c>
      <c r="BV89" s="285">
        <v>0</v>
      </c>
      <c r="BW89" s="258">
        <v>0</v>
      </c>
      <c r="BX89" s="258">
        <v>0</v>
      </c>
      <c r="BY89" s="258">
        <v>0</v>
      </c>
      <c r="BZ89" s="258">
        <v>0</v>
      </c>
      <c r="CA89" s="258">
        <v>0</v>
      </c>
      <c r="CB89" s="258">
        <v>0</v>
      </c>
      <c r="CC89" s="258">
        <v>0</v>
      </c>
      <c r="CD89" s="259">
        <v>0</v>
      </c>
      <c r="CE89" s="257">
        <f>SUM(AQ89,AU89,AV89,AX89,BD89,BE89,BG89)</f>
        <v>-6271.081999999999</v>
      </c>
      <c r="CF89" s="157">
        <f>SUM(AR89+AU89+BD89)</f>
        <v>-6271.081999999999</v>
      </c>
      <c r="CG89" s="157">
        <f>SUM(CE89-CF89)</f>
        <v>0</v>
      </c>
      <c r="CH89" s="162">
        <f>SUM(BC89)</f>
        <v>0</v>
      </c>
      <c r="CI89" s="285">
        <v>0</v>
      </c>
      <c r="CJ89" s="258">
        <v>0</v>
      </c>
      <c r="CK89" s="258">
        <v>0</v>
      </c>
      <c r="CL89" s="258">
        <v>0</v>
      </c>
      <c r="CM89" s="284">
        <f>SUM(CG89,CJ89,CK89,CL89)</f>
        <v>0</v>
      </c>
      <c r="CN89" s="258">
        <v>0</v>
      </c>
      <c r="CO89" s="258">
        <v>0</v>
      </c>
      <c r="CP89" s="258">
        <v>0</v>
      </c>
      <c r="CQ89" s="259">
        <v>0</v>
      </c>
      <c r="CR89" s="285">
        <v>0</v>
      </c>
      <c r="CS89" s="258">
        <v>0</v>
      </c>
      <c r="CT89" s="258">
        <v>0</v>
      </c>
      <c r="CU89" s="258">
        <v>0</v>
      </c>
      <c r="CV89" s="284">
        <f>SUM(CP89,CS89,CT89,CU89)</f>
        <v>0</v>
      </c>
      <c r="CW89" s="258">
        <v>0</v>
      </c>
      <c r="CX89" s="258">
        <v>0</v>
      </c>
      <c r="CY89" s="258">
        <v>0</v>
      </c>
      <c r="CZ89" s="259">
        <v>0</v>
      </c>
      <c r="DA89" s="285">
        <v>0</v>
      </c>
      <c r="DB89" s="258">
        <v>0</v>
      </c>
      <c r="DC89" s="258">
        <v>0</v>
      </c>
      <c r="DD89" s="258">
        <v>0</v>
      </c>
      <c r="DE89" s="284">
        <f>SUM(CY89,DB89,DC89,DD89)</f>
        <v>0</v>
      </c>
      <c r="DF89" s="258">
        <v>0</v>
      </c>
      <c r="DG89" s="258">
        <v>0</v>
      </c>
      <c r="DH89" s="258">
        <v>0</v>
      </c>
      <c r="DI89" s="259">
        <v>0</v>
      </c>
      <c r="DJ89" s="159">
        <f>SUM(CE89,CI89,CJ89,CN89,CL89,CP89,CR89,CS89,CU89,CW89,CY89,DA89,DB89,DD89,DF89,DH89)</f>
        <v>-6271.081999999999</v>
      </c>
      <c r="DK89" s="260">
        <f>SUM(CF89+CI89-CK89-CO89+CR89-CT89-CX89+DA89-DC89-DG89)</f>
        <v>-6271.081999999999</v>
      </c>
      <c r="DL89" s="260">
        <f>SUM(DJ89-DK89)</f>
        <v>0</v>
      </c>
      <c r="DM89" s="160">
        <f>SUM(DI89)</f>
        <v>0</v>
      </c>
      <c r="DN89" s="84"/>
      <c r="DO89" s="152"/>
      <c r="DP89" s="152"/>
      <c r="DQ89" s="152"/>
      <c r="DR89" s="152"/>
      <c r="DS89" s="152"/>
      <c r="DT89" s="152"/>
    </row>
    <row r="90" spans="2:124" s="1" customFormat="1" ht="12.75">
      <c r="B90" s="46"/>
      <c r="C90" s="47" t="s">
        <v>2</v>
      </c>
      <c r="D90" s="25">
        <f>SUM(D88:D89)</f>
        <v>0</v>
      </c>
      <c r="E90" s="3">
        <f aca="true" t="shared" si="165" ref="E90:AS90">SUM(E88:E89)</f>
        <v>6735.268</v>
      </c>
      <c r="F90" s="3">
        <f t="shared" si="165"/>
        <v>0</v>
      </c>
      <c r="G90" s="3">
        <f t="shared" si="165"/>
        <v>0</v>
      </c>
      <c r="H90" s="26">
        <f t="shared" si="165"/>
        <v>0</v>
      </c>
      <c r="I90" s="25">
        <f t="shared" si="165"/>
        <v>-5516.7</v>
      </c>
      <c r="J90" s="3">
        <f t="shared" si="165"/>
        <v>-3942.2</v>
      </c>
      <c r="K90" s="3">
        <f t="shared" si="165"/>
        <v>0</v>
      </c>
      <c r="L90" s="3">
        <f t="shared" si="165"/>
        <v>0</v>
      </c>
      <c r="M90" s="3">
        <f t="shared" si="165"/>
        <v>0</v>
      </c>
      <c r="N90" s="3">
        <f t="shared" si="165"/>
        <v>0</v>
      </c>
      <c r="O90" s="26">
        <f t="shared" si="165"/>
        <v>0</v>
      </c>
      <c r="P90" s="25">
        <f t="shared" si="165"/>
        <v>-2723.6319999999996</v>
      </c>
      <c r="Q90" s="3">
        <f t="shared" si="165"/>
        <v>-5516.7</v>
      </c>
      <c r="R90" s="26">
        <f t="shared" si="165"/>
        <v>2793.068</v>
      </c>
      <c r="S90" s="60">
        <f t="shared" si="165"/>
        <v>0</v>
      </c>
      <c r="T90" s="61">
        <f t="shared" si="165"/>
        <v>-479.8</v>
      </c>
      <c r="U90" s="61">
        <f t="shared" si="165"/>
        <v>0</v>
      </c>
      <c r="V90" s="61">
        <f t="shared" si="165"/>
        <v>0</v>
      </c>
      <c r="W90" s="62">
        <f t="shared" si="165"/>
        <v>0</v>
      </c>
      <c r="X90" s="60">
        <f t="shared" si="165"/>
        <v>0</v>
      </c>
      <c r="Y90" s="61">
        <f t="shared" si="165"/>
        <v>-9.3</v>
      </c>
      <c r="Z90" s="61">
        <f t="shared" si="165"/>
        <v>0</v>
      </c>
      <c r="AA90" s="61">
        <f t="shared" si="165"/>
        <v>0</v>
      </c>
      <c r="AB90" s="62">
        <f t="shared" si="165"/>
        <v>0</v>
      </c>
      <c r="AC90" s="60">
        <f t="shared" si="165"/>
        <v>-84.25999999999999</v>
      </c>
      <c r="AD90" s="61">
        <f t="shared" si="165"/>
        <v>-724.1600000000001</v>
      </c>
      <c r="AE90" s="61">
        <f t="shared" si="165"/>
        <v>0</v>
      </c>
      <c r="AF90" s="61">
        <f t="shared" si="165"/>
        <v>0</v>
      </c>
      <c r="AG90" s="61">
        <f t="shared" si="165"/>
        <v>0</v>
      </c>
      <c r="AH90" s="60">
        <f t="shared" si="165"/>
        <v>-61</v>
      </c>
      <c r="AI90" s="61">
        <f t="shared" si="165"/>
        <v>34.04899999999998</v>
      </c>
      <c r="AJ90" s="61">
        <f t="shared" si="165"/>
        <v>0</v>
      </c>
      <c r="AK90" s="61">
        <f t="shared" si="165"/>
        <v>0</v>
      </c>
      <c r="AL90" s="61">
        <f t="shared" si="165"/>
        <v>0</v>
      </c>
      <c r="AM90" s="61">
        <f t="shared" si="165"/>
        <v>0</v>
      </c>
      <c r="AN90" s="61">
        <f t="shared" si="165"/>
        <v>0</v>
      </c>
      <c r="AO90" s="61">
        <f>SUM(AO88:AO89)</f>
        <v>0</v>
      </c>
      <c r="AP90" s="62">
        <f t="shared" si="165"/>
        <v>0</v>
      </c>
      <c r="AQ90" s="60">
        <f t="shared" si="165"/>
        <v>-4048.343</v>
      </c>
      <c r="AR90" s="61">
        <f t="shared" si="165"/>
        <v>-6252.092</v>
      </c>
      <c r="AS90" s="61">
        <f t="shared" si="165"/>
        <v>2203.749</v>
      </c>
      <c r="AT90" s="62">
        <f>SUM(AT88:AT89)</f>
        <v>0</v>
      </c>
      <c r="AU90" s="60">
        <f aca="true" t="shared" si="166" ref="AU90:BA90">SUM(AU88:AU89)</f>
        <v>0</v>
      </c>
      <c r="AV90" s="61">
        <f t="shared" si="166"/>
        <v>-491.671</v>
      </c>
      <c r="AW90" s="61">
        <f t="shared" si="166"/>
        <v>0</v>
      </c>
      <c r="AX90" s="61">
        <f t="shared" si="166"/>
        <v>83.78649200000001</v>
      </c>
      <c r="AY90" s="61">
        <f t="shared" si="166"/>
        <v>0</v>
      </c>
      <c r="AZ90" s="61">
        <f t="shared" si="166"/>
        <v>-84.267492</v>
      </c>
      <c r="BA90" s="61">
        <f t="shared" si="166"/>
        <v>0</v>
      </c>
      <c r="BB90" s="61">
        <f aca="true" t="shared" si="167" ref="BB90:BL90">SUM(BB88:BB89)</f>
        <v>0</v>
      </c>
      <c r="BC90" s="62">
        <f t="shared" si="167"/>
        <v>0</v>
      </c>
      <c r="BD90" s="286">
        <f t="shared" si="167"/>
        <v>-18.99</v>
      </c>
      <c r="BE90" s="287">
        <f t="shared" si="167"/>
        <v>-1419.144</v>
      </c>
      <c r="BF90" s="287">
        <f t="shared" si="167"/>
        <v>0</v>
      </c>
      <c r="BG90" s="287">
        <f t="shared" si="167"/>
        <v>0</v>
      </c>
      <c r="BH90" s="287">
        <f t="shared" si="167"/>
        <v>0</v>
      </c>
      <c r="BI90" s="287">
        <f t="shared" si="167"/>
        <v>0</v>
      </c>
      <c r="BJ90" s="287">
        <f t="shared" si="167"/>
        <v>0</v>
      </c>
      <c r="BK90" s="287">
        <f t="shared" si="167"/>
        <v>0</v>
      </c>
      <c r="BL90" s="163">
        <f t="shared" si="167"/>
        <v>0</v>
      </c>
      <c r="BM90" s="286">
        <f aca="true" t="shared" si="168" ref="BM90:BS90">SUM(BM88:BM89)</f>
        <v>0</v>
      </c>
      <c r="BN90" s="287">
        <f t="shared" si="168"/>
        <v>402.2968</v>
      </c>
      <c r="BO90" s="287">
        <f t="shared" si="168"/>
        <v>0</v>
      </c>
      <c r="BP90" s="287">
        <f t="shared" si="168"/>
        <v>0</v>
      </c>
      <c r="BQ90" s="287">
        <f t="shared" si="168"/>
        <v>0</v>
      </c>
      <c r="BR90" s="287">
        <f t="shared" si="168"/>
        <v>0</v>
      </c>
      <c r="BS90" s="287">
        <f t="shared" si="168"/>
        <v>0</v>
      </c>
      <c r="BT90" s="287">
        <f>SUM(BT88:BT89)</f>
        <v>0</v>
      </c>
      <c r="BU90" s="163">
        <f>SUM(BU88:BU89)</f>
        <v>0</v>
      </c>
      <c r="BV90" s="286">
        <f aca="true" t="shared" si="169" ref="BV90:CB90">SUM(BV88:BV89)</f>
        <v>0</v>
      </c>
      <c r="BW90" s="287">
        <f t="shared" si="169"/>
        <v>-33.120670000000004</v>
      </c>
      <c r="BX90" s="287">
        <f t="shared" si="169"/>
        <v>0</v>
      </c>
      <c r="BY90" s="287">
        <f t="shared" si="169"/>
        <v>0</v>
      </c>
      <c r="BZ90" s="287">
        <f t="shared" si="169"/>
        <v>0</v>
      </c>
      <c r="CA90" s="287">
        <f t="shared" si="169"/>
        <v>0</v>
      </c>
      <c r="CB90" s="287">
        <f t="shared" si="169"/>
        <v>0</v>
      </c>
      <c r="CC90" s="287">
        <f aca="true" t="shared" si="170" ref="CC90:CO90">SUM(CC88:CC89)</f>
        <v>0</v>
      </c>
      <c r="CD90" s="163">
        <f t="shared" si="170"/>
        <v>0</v>
      </c>
      <c r="CE90" s="286">
        <f t="shared" si="170"/>
        <v>-5609.452869999999</v>
      </c>
      <c r="CF90" s="287">
        <f t="shared" si="170"/>
        <v>-6271.081999999999</v>
      </c>
      <c r="CG90" s="287">
        <f t="shared" si="170"/>
        <v>661.6291299999999</v>
      </c>
      <c r="CH90" s="163">
        <f t="shared" si="170"/>
        <v>0</v>
      </c>
      <c r="CI90" s="286">
        <f t="shared" si="170"/>
        <v>0</v>
      </c>
      <c r="CJ90" s="287">
        <f t="shared" si="170"/>
        <v>-3.717479</v>
      </c>
      <c r="CK90" s="287">
        <f t="shared" si="170"/>
        <v>0</v>
      </c>
      <c r="CL90" s="287">
        <f t="shared" si="170"/>
        <v>0</v>
      </c>
      <c r="CM90" s="287">
        <f t="shared" si="170"/>
        <v>657.9116509999999</v>
      </c>
      <c r="CN90" s="287">
        <f t="shared" si="170"/>
        <v>0</v>
      </c>
      <c r="CO90" s="287">
        <f t="shared" si="170"/>
        <v>0</v>
      </c>
      <c r="CP90" s="287">
        <f aca="true" t="shared" si="171" ref="CP90:CX90">SUM(CP88:CP89)</f>
        <v>0</v>
      </c>
      <c r="CQ90" s="163">
        <f t="shared" si="171"/>
        <v>0</v>
      </c>
      <c r="CR90" s="286">
        <f t="shared" si="171"/>
        <v>0</v>
      </c>
      <c r="CS90" s="287">
        <f t="shared" si="171"/>
        <v>-2.064239999999998</v>
      </c>
      <c r="CT90" s="287">
        <f t="shared" si="171"/>
        <v>0</v>
      </c>
      <c r="CU90" s="287">
        <f t="shared" si="171"/>
        <v>0</v>
      </c>
      <c r="CV90" s="287">
        <f t="shared" si="171"/>
        <v>655.847411</v>
      </c>
      <c r="CW90" s="287">
        <f t="shared" si="171"/>
        <v>0</v>
      </c>
      <c r="CX90" s="287">
        <f t="shared" si="171"/>
        <v>0</v>
      </c>
      <c r="CY90" s="287">
        <f>SUM(CY88:CY89)</f>
        <v>0</v>
      </c>
      <c r="CZ90" s="163">
        <f>SUM(CZ88:CZ89)</f>
        <v>0</v>
      </c>
      <c r="DA90" s="286">
        <f aca="true" t="shared" si="172" ref="DA90:DG90">SUM(DA88:DA89)</f>
        <v>0</v>
      </c>
      <c r="DB90" s="287">
        <f t="shared" si="172"/>
        <v>-680.9200000000001</v>
      </c>
      <c r="DC90" s="287">
        <f t="shared" si="172"/>
        <v>0</v>
      </c>
      <c r="DD90" s="287">
        <f t="shared" si="172"/>
        <v>25.073</v>
      </c>
      <c r="DE90" s="287">
        <f t="shared" si="172"/>
        <v>0.00041099999981497604</v>
      </c>
      <c r="DF90" s="287">
        <f t="shared" si="172"/>
        <v>0</v>
      </c>
      <c r="DG90" s="287">
        <f t="shared" si="172"/>
        <v>0</v>
      </c>
      <c r="DH90" s="287">
        <f aca="true" t="shared" si="173" ref="DH90:DM90">SUM(DH88:DH89)</f>
        <v>0</v>
      </c>
      <c r="DI90" s="163">
        <f t="shared" si="173"/>
        <v>0</v>
      </c>
      <c r="DJ90" s="373">
        <f t="shared" si="173"/>
        <v>-6271.081588999999</v>
      </c>
      <c r="DK90" s="374">
        <f t="shared" si="173"/>
        <v>-6271.081999999999</v>
      </c>
      <c r="DL90" s="374">
        <f t="shared" si="173"/>
        <v>0.00041099999981497604</v>
      </c>
      <c r="DM90" s="375">
        <f t="shared" si="173"/>
        <v>0</v>
      </c>
      <c r="DN90" s="84"/>
      <c r="DO90" s="152"/>
      <c r="DP90" s="152"/>
      <c r="DQ90" s="152"/>
      <c r="DR90" s="152"/>
      <c r="DS90" s="152"/>
      <c r="DT90" s="152"/>
    </row>
    <row r="91" spans="2:118" ht="12.75">
      <c r="B91" s="11"/>
      <c r="C91" s="32"/>
      <c r="D91" s="29"/>
      <c r="E91" s="27"/>
      <c r="F91" s="13"/>
      <c r="G91" s="13"/>
      <c r="H91" s="14"/>
      <c r="I91" s="29"/>
      <c r="J91" s="27"/>
      <c r="K91" s="27"/>
      <c r="L91" s="27"/>
      <c r="M91" s="27"/>
      <c r="N91" s="13"/>
      <c r="O91" s="14"/>
      <c r="P91" s="12"/>
      <c r="Q91" s="13"/>
      <c r="R91" s="34"/>
      <c r="S91" s="57"/>
      <c r="T91" s="58"/>
      <c r="U91" s="58"/>
      <c r="V91" s="58"/>
      <c r="W91" s="59"/>
      <c r="X91" s="57"/>
      <c r="Y91" s="58"/>
      <c r="Z91" s="58"/>
      <c r="AA91" s="58"/>
      <c r="AB91" s="59"/>
      <c r="AC91" s="57"/>
      <c r="AD91" s="58"/>
      <c r="AE91" s="58"/>
      <c r="AF91" s="58"/>
      <c r="AG91" s="70"/>
      <c r="AH91" s="67"/>
      <c r="AI91" s="70"/>
      <c r="AJ91" s="70"/>
      <c r="AK91" s="70"/>
      <c r="AL91" s="70"/>
      <c r="AM91" s="70"/>
      <c r="AN91" s="70"/>
      <c r="AO91" s="70"/>
      <c r="AP91" s="59"/>
      <c r="AQ91" s="12"/>
      <c r="AR91" s="58"/>
      <c r="AS91" s="58"/>
      <c r="AT91" s="34"/>
      <c r="AU91" s="67"/>
      <c r="AV91" s="70"/>
      <c r="AW91" s="70"/>
      <c r="AX91" s="70"/>
      <c r="AY91" s="70"/>
      <c r="AZ91" s="70"/>
      <c r="BA91" s="70"/>
      <c r="BB91" s="70"/>
      <c r="BC91" s="59"/>
      <c r="BD91" s="283"/>
      <c r="BE91" s="258"/>
      <c r="BF91" s="258"/>
      <c r="BG91" s="258"/>
      <c r="BH91" s="258"/>
      <c r="BI91" s="258"/>
      <c r="BJ91" s="258"/>
      <c r="BK91" s="258"/>
      <c r="BL91" s="259"/>
      <c r="BM91" s="283"/>
      <c r="BN91" s="258"/>
      <c r="BO91" s="258"/>
      <c r="BP91" s="258"/>
      <c r="BQ91" s="258"/>
      <c r="BR91" s="258"/>
      <c r="BS91" s="258"/>
      <c r="BT91" s="258"/>
      <c r="BU91" s="259"/>
      <c r="BV91" s="283"/>
      <c r="BW91" s="258"/>
      <c r="BX91" s="258"/>
      <c r="BY91" s="258"/>
      <c r="BZ91" s="258"/>
      <c r="CA91" s="258"/>
      <c r="CB91" s="258"/>
      <c r="CC91" s="258"/>
      <c r="CD91" s="259"/>
      <c r="CE91" s="322"/>
      <c r="CF91" s="157"/>
      <c r="CG91" s="157"/>
      <c r="CH91" s="323"/>
      <c r="CI91" s="283"/>
      <c r="CJ91" s="258"/>
      <c r="CK91" s="258"/>
      <c r="CL91" s="258"/>
      <c r="CM91" s="258"/>
      <c r="CN91" s="258"/>
      <c r="CO91" s="258"/>
      <c r="CP91" s="258"/>
      <c r="CQ91" s="259"/>
      <c r="CR91" s="283"/>
      <c r="CS91" s="258"/>
      <c r="CT91" s="258"/>
      <c r="CU91" s="258"/>
      <c r="CV91" s="258"/>
      <c r="CW91" s="258"/>
      <c r="CX91" s="258"/>
      <c r="CY91" s="258"/>
      <c r="CZ91" s="259"/>
      <c r="DA91" s="283"/>
      <c r="DB91" s="258"/>
      <c r="DC91" s="258"/>
      <c r="DD91" s="258"/>
      <c r="DE91" s="258"/>
      <c r="DF91" s="258"/>
      <c r="DG91" s="258"/>
      <c r="DH91" s="258"/>
      <c r="DI91" s="259"/>
      <c r="DJ91" s="159"/>
      <c r="DK91" s="260"/>
      <c r="DL91" s="260"/>
      <c r="DM91" s="160"/>
      <c r="DN91" s="84"/>
    </row>
    <row r="92" spans="2:124" s="1" customFormat="1" ht="13.5" thickBot="1">
      <c r="B92" s="138" t="s">
        <v>114</v>
      </c>
      <c r="C92" s="139" t="s">
        <v>2</v>
      </c>
      <c r="D92" s="140">
        <f aca="true" t="shared" si="174" ref="D92:AT92">SUM(D84,D90)</f>
        <v>3319.1169999999997</v>
      </c>
      <c r="E92" s="141">
        <f t="shared" si="174"/>
        <v>35997.568</v>
      </c>
      <c r="F92" s="141">
        <f t="shared" si="174"/>
        <v>-13703.961</v>
      </c>
      <c r="G92" s="141">
        <f t="shared" si="174"/>
        <v>7.95</v>
      </c>
      <c r="H92" s="142">
        <f t="shared" si="174"/>
        <v>15566.288999999999</v>
      </c>
      <c r="I92" s="140">
        <f t="shared" si="174"/>
        <v>-5066.6759999999995</v>
      </c>
      <c r="J92" s="141">
        <f t="shared" si="174"/>
        <v>739.987000000001</v>
      </c>
      <c r="K92" s="141">
        <f t="shared" si="174"/>
        <v>-5598.260322</v>
      </c>
      <c r="L92" s="141">
        <f t="shared" si="174"/>
        <v>24.06</v>
      </c>
      <c r="M92" s="141">
        <f t="shared" si="174"/>
        <v>-15.969999999999999</v>
      </c>
      <c r="N92" s="141">
        <f t="shared" si="174"/>
        <v>0</v>
      </c>
      <c r="O92" s="142">
        <f t="shared" si="174"/>
        <v>14658.305677999999</v>
      </c>
      <c r="P92" s="140">
        <f t="shared" si="174"/>
        <v>35022.08900000001</v>
      </c>
      <c r="Q92" s="141">
        <f t="shared" si="174"/>
        <v>17570.592322</v>
      </c>
      <c r="R92" s="142">
        <f t="shared" si="174"/>
        <v>17451.596677999998</v>
      </c>
      <c r="S92" s="143">
        <f t="shared" si="174"/>
        <v>53.065</v>
      </c>
      <c r="T92" s="144">
        <f t="shared" si="174"/>
        <v>-90.69999999999999</v>
      </c>
      <c r="U92" s="144">
        <f t="shared" si="174"/>
        <v>-695.452721</v>
      </c>
      <c r="V92" s="144">
        <f t="shared" si="174"/>
        <v>0.42</v>
      </c>
      <c r="W92" s="145">
        <f t="shared" si="174"/>
        <v>14352.595957</v>
      </c>
      <c r="X92" s="143">
        <f t="shared" si="174"/>
        <v>50.391999999999996</v>
      </c>
      <c r="Y92" s="144">
        <f t="shared" si="174"/>
        <v>531.7860000000001</v>
      </c>
      <c r="Z92" s="144">
        <f t="shared" si="174"/>
        <v>-614.5438659999999</v>
      </c>
      <c r="AA92" s="144">
        <f t="shared" si="174"/>
        <v>0.52</v>
      </c>
      <c r="AB92" s="145">
        <f t="shared" si="174"/>
        <v>14279.658090999998</v>
      </c>
      <c r="AC92" s="143">
        <f t="shared" si="174"/>
        <v>-26.100999999999992</v>
      </c>
      <c r="AD92" s="144">
        <f t="shared" si="174"/>
        <v>73.75</v>
      </c>
      <c r="AE92" s="144">
        <f t="shared" si="174"/>
        <v>-443.52375900000004</v>
      </c>
      <c r="AF92" s="144">
        <f t="shared" si="174"/>
        <v>0.37</v>
      </c>
      <c r="AG92" s="144">
        <f t="shared" si="174"/>
        <v>14634.414332000002</v>
      </c>
      <c r="AH92" s="146">
        <f t="shared" si="174"/>
        <v>-14.995999999999995</v>
      </c>
      <c r="AI92" s="147">
        <f t="shared" si="174"/>
        <v>3329.635</v>
      </c>
      <c r="AJ92" s="147">
        <f t="shared" si="174"/>
        <v>-3265.6179999999995</v>
      </c>
      <c r="AK92" s="147">
        <f t="shared" si="174"/>
        <v>4.749</v>
      </c>
      <c r="AL92" s="147">
        <f t="shared" si="174"/>
        <v>14669.131332</v>
      </c>
      <c r="AM92" s="147">
        <f t="shared" si="174"/>
        <v>0</v>
      </c>
      <c r="AN92" s="147">
        <f t="shared" si="174"/>
        <v>0</v>
      </c>
      <c r="AO92" s="147">
        <f t="shared" si="174"/>
        <v>0</v>
      </c>
      <c r="AP92" s="148">
        <f t="shared" si="174"/>
        <v>0</v>
      </c>
      <c r="AQ92" s="149">
        <f t="shared" si="174"/>
        <v>38934.738999999994</v>
      </c>
      <c r="AR92" s="147">
        <f t="shared" si="174"/>
        <v>22061.958668000003</v>
      </c>
      <c r="AS92" s="147">
        <f t="shared" si="174"/>
        <v>16872.880332</v>
      </c>
      <c r="AT92" s="150">
        <f t="shared" si="174"/>
        <v>0</v>
      </c>
      <c r="AU92" s="146">
        <f aca="true" t="shared" si="175" ref="AU92:BC92">SUM(AU84,AU90)</f>
        <v>22.081000000000003</v>
      </c>
      <c r="AV92" s="147">
        <f t="shared" si="175"/>
        <v>-10.130999999999972</v>
      </c>
      <c r="AW92" s="147">
        <f t="shared" si="175"/>
        <v>-860.6329999999999</v>
      </c>
      <c r="AX92" s="147">
        <f t="shared" si="175"/>
        <v>-3848.636</v>
      </c>
      <c r="AY92" s="147">
        <f t="shared" si="175"/>
        <v>10357.615839999999</v>
      </c>
      <c r="AZ92" s="147">
        <f t="shared" si="175"/>
        <v>3848.58</v>
      </c>
      <c r="BA92" s="147">
        <f t="shared" si="175"/>
        <v>-356</v>
      </c>
      <c r="BB92" s="147">
        <f t="shared" si="175"/>
        <v>9.56</v>
      </c>
      <c r="BC92" s="148">
        <f t="shared" si="175"/>
        <v>3586.407492</v>
      </c>
      <c r="BD92" s="288">
        <f aca="true" t="shared" si="176" ref="BD92:BL92">SUM(BD84,BD90)</f>
        <v>12.654000000000003</v>
      </c>
      <c r="BE92" s="289">
        <f t="shared" si="176"/>
        <v>-122.07899999999995</v>
      </c>
      <c r="BF92" s="289">
        <f t="shared" si="176"/>
        <v>-1020.6885000000001</v>
      </c>
      <c r="BG92" s="289">
        <f t="shared" si="176"/>
        <v>0.8</v>
      </c>
      <c r="BH92" s="289">
        <f t="shared" si="176"/>
        <v>10634.792339999998</v>
      </c>
      <c r="BI92" s="289">
        <f t="shared" si="176"/>
        <v>0</v>
      </c>
      <c r="BJ92" s="289">
        <f t="shared" si="176"/>
        <v>-38.191716</v>
      </c>
      <c r="BK92" s="289">
        <f t="shared" si="176"/>
        <v>9.25</v>
      </c>
      <c r="BL92" s="290">
        <f t="shared" si="176"/>
        <v>3557.465776</v>
      </c>
      <c r="BM92" s="288">
        <f aca="true" t="shared" si="177" ref="BM92:BU92">SUM(BM84,BM90)</f>
        <v>21.601</v>
      </c>
      <c r="BN92" s="289">
        <f t="shared" si="177"/>
        <v>0.6454170000000659</v>
      </c>
      <c r="BO92" s="289">
        <f t="shared" si="177"/>
        <v>-1116.4337380000004</v>
      </c>
      <c r="BP92" s="289">
        <f t="shared" si="177"/>
        <v>0.3000000000000007</v>
      </c>
      <c r="BQ92" s="289">
        <f t="shared" si="177"/>
        <v>9117.007218999997</v>
      </c>
      <c r="BR92" s="289">
        <f t="shared" si="177"/>
        <v>0</v>
      </c>
      <c r="BS92" s="289">
        <f t="shared" si="177"/>
        <v>0</v>
      </c>
      <c r="BT92" s="289">
        <f t="shared" si="177"/>
        <v>9.27</v>
      </c>
      <c r="BU92" s="290">
        <f t="shared" si="177"/>
        <v>3566.735776</v>
      </c>
      <c r="BV92" s="288">
        <f aca="true" t="shared" si="178" ref="BV92:CD92">SUM(BV84,BV90)</f>
        <v>27.452</v>
      </c>
      <c r="BW92" s="289">
        <f t="shared" si="178"/>
        <v>0.29999999999999716</v>
      </c>
      <c r="BX92" s="289">
        <f t="shared" si="178"/>
        <v>-324.486007</v>
      </c>
      <c r="BY92" s="289">
        <f t="shared" si="178"/>
        <v>-5.088573</v>
      </c>
      <c r="BZ92" s="289">
        <f t="shared" si="178"/>
        <v>8820.853308999998</v>
      </c>
      <c r="CA92" s="289">
        <f t="shared" si="178"/>
        <v>0</v>
      </c>
      <c r="CB92" s="289">
        <f t="shared" si="178"/>
        <v>0</v>
      </c>
      <c r="CC92" s="289">
        <f t="shared" si="178"/>
        <v>9.3</v>
      </c>
      <c r="CD92" s="290">
        <f t="shared" si="178"/>
        <v>3576.035776</v>
      </c>
      <c r="CE92" s="324">
        <f>SUM(CE84,CE90)</f>
        <v>38920.597843999996</v>
      </c>
      <c r="CF92" s="289">
        <f>SUM(CF84,CF90)</f>
        <v>25862.179628999995</v>
      </c>
      <c r="CG92" s="289">
        <f>SUM(CG84,CG90)</f>
        <v>9482.482439</v>
      </c>
      <c r="CH92" s="325">
        <f>SUM(CH84,CH90)</f>
        <v>3576.035776</v>
      </c>
      <c r="CI92" s="288">
        <f aca="true" t="shared" si="179" ref="CI92:CQ92">SUM(CI84,CI90)</f>
        <v>25.186</v>
      </c>
      <c r="CJ92" s="289">
        <f t="shared" si="179"/>
        <v>0.5731419999999998</v>
      </c>
      <c r="CK92" s="289">
        <f t="shared" si="179"/>
        <v>-209.76914399999998</v>
      </c>
      <c r="CL92" s="289">
        <f t="shared" si="179"/>
        <v>0</v>
      </c>
      <c r="CM92" s="289">
        <f t="shared" si="179"/>
        <v>9273.286437</v>
      </c>
      <c r="CN92" s="289">
        <f t="shared" si="179"/>
        <v>0</v>
      </c>
      <c r="CO92" s="289">
        <f t="shared" si="179"/>
        <v>-565</v>
      </c>
      <c r="CP92" s="289">
        <f t="shared" si="179"/>
        <v>9.75</v>
      </c>
      <c r="CQ92" s="290">
        <f t="shared" si="179"/>
        <v>3020.785776</v>
      </c>
      <c r="CR92" s="288">
        <f aca="true" t="shared" si="180" ref="CR92:CZ92">SUM(CR84,CR90)</f>
        <v>186.004</v>
      </c>
      <c r="CS92" s="289">
        <f t="shared" si="180"/>
        <v>3.643</v>
      </c>
      <c r="CT92" s="289">
        <f t="shared" si="180"/>
        <v>-214.90054400000002</v>
      </c>
      <c r="CU92" s="289">
        <f t="shared" si="180"/>
        <v>0.264</v>
      </c>
      <c r="CV92" s="289">
        <f t="shared" si="180"/>
        <v>3925.5944370000007</v>
      </c>
      <c r="CW92" s="289">
        <f t="shared" si="180"/>
        <v>0</v>
      </c>
      <c r="CX92" s="289">
        <f t="shared" si="180"/>
        <v>-25.157514</v>
      </c>
      <c r="CY92" s="289">
        <f t="shared" si="180"/>
        <v>8.695</v>
      </c>
      <c r="CZ92" s="290">
        <f t="shared" si="180"/>
        <v>3003.463262</v>
      </c>
      <c r="DA92" s="288">
        <f aca="true" t="shared" si="181" ref="DA92:DI92">SUM(DA84,DA90)</f>
        <v>26.928</v>
      </c>
      <c r="DB92" s="289">
        <f t="shared" si="181"/>
        <v>-19.78200000000004</v>
      </c>
      <c r="DC92" s="289">
        <f t="shared" si="181"/>
        <v>-338.741634</v>
      </c>
      <c r="DD92" s="289">
        <f t="shared" si="181"/>
        <v>25.793</v>
      </c>
      <c r="DE92" s="289">
        <f t="shared" si="181"/>
        <v>3592.863803</v>
      </c>
      <c r="DF92" s="289">
        <f t="shared" si="181"/>
        <v>0</v>
      </c>
      <c r="DG92" s="289">
        <f t="shared" si="181"/>
        <v>0</v>
      </c>
      <c r="DH92" s="289">
        <f t="shared" si="181"/>
        <v>8.723</v>
      </c>
      <c r="DI92" s="290">
        <f t="shared" si="181"/>
        <v>3012.186262</v>
      </c>
      <c r="DJ92" s="376">
        <f>SUM(DJ84,DJ90)</f>
        <v>39196.37498599999</v>
      </c>
      <c r="DK92" s="377">
        <f>SUM(DK84,DK90)</f>
        <v>27453.866464999996</v>
      </c>
      <c r="DL92" s="377">
        <f>SUM(DL84,DL90)</f>
        <v>8730.422258999999</v>
      </c>
      <c r="DM92" s="378">
        <f>SUM(DM84,DM90)</f>
        <v>3012.186262</v>
      </c>
      <c r="DN92" s="84"/>
      <c r="DO92" s="152"/>
      <c r="DP92" s="152"/>
      <c r="DQ92" s="152"/>
      <c r="DR92" s="152"/>
      <c r="DS92" s="152"/>
      <c r="DT92" s="152"/>
    </row>
    <row r="93" spans="2:124" s="1" customFormat="1" ht="13.5" thickBot="1">
      <c r="B93" s="31"/>
      <c r="C93" s="31" t="s">
        <v>34</v>
      </c>
      <c r="D93" s="35"/>
      <c r="E93" s="36"/>
      <c r="F93" s="36">
        <f>SUM(D92,E92,G92)</f>
        <v>39324.634999999995</v>
      </c>
      <c r="G93" s="36"/>
      <c r="H93" s="37"/>
      <c r="I93" s="35"/>
      <c r="J93" s="36"/>
      <c r="K93" s="36"/>
      <c r="L93" s="36">
        <f>SUM(I92,J92,L92)</f>
        <v>-4302.628999999998</v>
      </c>
      <c r="M93" s="36"/>
      <c r="N93" s="36"/>
      <c r="O93" s="37"/>
      <c r="P93" s="106"/>
      <c r="Q93" s="107"/>
      <c r="R93" s="45"/>
      <c r="S93" s="69"/>
      <c r="T93" s="72"/>
      <c r="U93" s="72"/>
      <c r="V93" s="72">
        <f>SUM(S92,T92,V92)</f>
        <v>-37.21499999999999</v>
      </c>
      <c r="W93" s="73"/>
      <c r="X93" s="69"/>
      <c r="Y93" s="72"/>
      <c r="Z93" s="72"/>
      <c r="AA93" s="72">
        <f>SUM(X92,Y92,AA92)</f>
        <v>582.6980000000001</v>
      </c>
      <c r="AB93" s="73"/>
      <c r="AC93" s="69"/>
      <c r="AD93" s="72"/>
      <c r="AE93" s="72"/>
      <c r="AF93" s="72">
        <f>SUM(AC92,AD92,AF92)</f>
        <v>48.019000000000005</v>
      </c>
      <c r="AG93" s="72"/>
      <c r="AH93" s="101"/>
      <c r="AI93" s="102"/>
      <c r="AJ93" s="102"/>
      <c r="AK93" s="102">
        <f>SUM(AH92,AI92,AK92,AM92,AO92)</f>
        <v>3319.388</v>
      </c>
      <c r="AL93" s="102"/>
      <c r="AM93" s="102"/>
      <c r="AN93" s="102"/>
      <c r="AO93" s="102"/>
      <c r="AP93" s="103"/>
      <c r="AQ93" s="105"/>
      <c r="AR93" s="108"/>
      <c r="AS93" s="108"/>
      <c r="AT93" s="104"/>
      <c r="AU93" s="164"/>
      <c r="AV93" s="102"/>
      <c r="AW93" s="102"/>
      <c r="AX93" s="102">
        <f>SUM(AU92,AV92,AX92,AZ92,BB92)</f>
        <v>21.45399999999978</v>
      </c>
      <c r="AY93" s="102"/>
      <c r="AZ93" s="102"/>
      <c r="BA93" s="102"/>
      <c r="BB93" s="102"/>
      <c r="BC93" s="103"/>
      <c r="BD93" s="164"/>
      <c r="BE93" s="291"/>
      <c r="BF93" s="291"/>
      <c r="BG93" s="291">
        <f>SUM(BD92,BE92,BG92,BI92,BK92)</f>
        <v>-99.37499999999996</v>
      </c>
      <c r="BH93" s="291"/>
      <c r="BI93" s="291"/>
      <c r="BJ93" s="291"/>
      <c r="BK93" s="291"/>
      <c r="BL93" s="292"/>
      <c r="BM93" s="164"/>
      <c r="BN93" s="291"/>
      <c r="BO93" s="291"/>
      <c r="BP93" s="291">
        <f>SUM(BM92,BN92,BP92,BR92,BT92)</f>
        <v>31.816417000000065</v>
      </c>
      <c r="BQ93" s="291"/>
      <c r="BR93" s="291"/>
      <c r="BS93" s="291"/>
      <c r="BT93" s="291"/>
      <c r="BU93" s="292"/>
      <c r="BV93" s="164"/>
      <c r="BW93" s="291"/>
      <c r="BX93" s="291"/>
      <c r="BY93" s="291">
        <f>SUM(BV92,BW92,BY92,CA92,CC92)</f>
        <v>31.963427</v>
      </c>
      <c r="BZ93" s="291"/>
      <c r="CA93" s="291"/>
      <c r="CB93" s="291"/>
      <c r="CC93" s="291"/>
      <c r="CD93" s="292"/>
      <c r="CE93" s="326"/>
      <c r="CF93" s="305"/>
      <c r="CG93" s="305"/>
      <c r="CH93" s="327"/>
      <c r="CI93" s="164"/>
      <c r="CJ93" s="291"/>
      <c r="CK93" s="291"/>
      <c r="CL93" s="291">
        <f>SUM(CI92,CJ92,CL92,CN92,CP92)</f>
        <v>35.509142</v>
      </c>
      <c r="CM93" s="291"/>
      <c r="CN93" s="291"/>
      <c r="CO93" s="291"/>
      <c r="CP93" s="291"/>
      <c r="CQ93" s="292"/>
      <c r="CR93" s="164"/>
      <c r="CS93" s="291"/>
      <c r="CT93" s="291"/>
      <c r="CU93" s="291">
        <f>SUM(CR92,CS92,CU92,CW92,CY92)</f>
        <v>198.606</v>
      </c>
      <c r="CV93" s="291"/>
      <c r="CW93" s="291"/>
      <c r="CX93" s="291"/>
      <c r="CY93" s="291"/>
      <c r="CZ93" s="292"/>
      <c r="DA93" s="164"/>
      <c r="DB93" s="291"/>
      <c r="DC93" s="291"/>
      <c r="DD93" s="291">
        <f>SUM(DA92,DB92,DD92,DF92,DH92)</f>
        <v>41.66199999999996</v>
      </c>
      <c r="DE93" s="291"/>
      <c r="DF93" s="291"/>
      <c r="DG93" s="291"/>
      <c r="DH93" s="291"/>
      <c r="DI93" s="292"/>
      <c r="DJ93" s="326"/>
      <c r="DK93" s="305"/>
      <c r="DL93" s="305"/>
      <c r="DM93" s="327"/>
      <c r="DN93" s="83"/>
      <c r="DO93" s="152"/>
      <c r="DP93" s="152"/>
      <c r="DQ93" s="152"/>
      <c r="DR93" s="152"/>
      <c r="DS93" s="152"/>
      <c r="DT93" s="152"/>
    </row>
    <row r="94" spans="4:117" ht="12.75">
      <c r="D94" s="90"/>
      <c r="E94" s="90"/>
      <c r="F94" s="4"/>
      <c r="G94" s="4"/>
      <c r="H94" s="2"/>
      <c r="I94" s="4"/>
      <c r="J94" s="4"/>
      <c r="K94" s="4"/>
      <c r="L94" s="4"/>
      <c r="M94" s="4"/>
      <c r="N94" s="4"/>
      <c r="O94" s="2"/>
      <c r="Z94" s="79"/>
      <c r="AE94" s="79"/>
      <c r="AQ94" s="153"/>
      <c r="AU94" s="165"/>
      <c r="AV94" s="4"/>
      <c r="AW94" s="4"/>
      <c r="AX94" s="4"/>
      <c r="AY94" s="4"/>
      <c r="AZ94" s="4"/>
      <c r="BA94" s="4"/>
      <c r="BB94" s="4"/>
      <c r="BC94" s="2"/>
      <c r="BD94" s="165"/>
      <c r="BE94" s="165"/>
      <c r="BF94" s="165"/>
      <c r="BG94" s="165"/>
      <c r="BH94" s="165"/>
      <c r="BI94" s="165"/>
      <c r="BJ94" s="165"/>
      <c r="BK94" s="165"/>
      <c r="BL94" s="247"/>
      <c r="BM94" s="165"/>
      <c r="BN94" s="165"/>
      <c r="BO94" s="165"/>
      <c r="BP94" s="165"/>
      <c r="BQ94" s="165"/>
      <c r="BR94" s="165"/>
      <c r="BS94" s="165"/>
      <c r="BT94" s="165"/>
      <c r="BU94" s="247"/>
      <c r="BV94" s="165"/>
      <c r="BW94" s="165"/>
      <c r="BX94" s="165"/>
      <c r="BY94" s="165"/>
      <c r="BZ94" s="165"/>
      <c r="CA94" s="165"/>
      <c r="CB94" s="165"/>
      <c r="CC94" s="165"/>
      <c r="CD94" s="247"/>
      <c r="CE94" s="248"/>
      <c r="CF94" s="306"/>
      <c r="CG94" s="306"/>
      <c r="CH94" s="165"/>
      <c r="CI94" s="165"/>
      <c r="CJ94" s="165"/>
      <c r="CK94" s="165"/>
      <c r="CL94" s="165"/>
      <c r="CM94" s="165"/>
      <c r="CN94" s="165"/>
      <c r="CO94" s="165"/>
      <c r="CP94" s="165"/>
      <c r="CQ94" s="247"/>
      <c r="CR94" s="165"/>
      <c r="CS94" s="165"/>
      <c r="CT94" s="165"/>
      <c r="CU94" s="165"/>
      <c r="CV94" s="165"/>
      <c r="CW94" s="165"/>
      <c r="CX94" s="165"/>
      <c r="CY94" s="165"/>
      <c r="CZ94" s="247"/>
      <c r="DA94" s="165"/>
      <c r="DB94" s="165"/>
      <c r="DC94" s="165"/>
      <c r="DD94" s="165"/>
      <c r="DE94" s="165"/>
      <c r="DF94" s="165"/>
      <c r="DG94" s="165"/>
      <c r="DH94" s="165"/>
      <c r="DI94" s="247"/>
      <c r="DJ94" s="248"/>
      <c r="DK94" s="306"/>
      <c r="DL94" s="306"/>
      <c r="DM94" s="165"/>
    </row>
  </sheetData>
  <sheetProtection/>
  <printOptions/>
  <pageMargins left="0.7" right="0.7" top="0.75" bottom="0.75" header="0.3" footer="0.3"/>
  <pageSetup fitToHeight="1" fitToWidth="1" horizontalDpi="600" verticalDpi="600" orientation="landscape" paperSize="17" scale="55" r:id="rId3"/>
  <ignoredErrors>
    <ignoredError sqref="AY74:AY94 BQ8:BQ21 BQ26:BQ28 BQ52:BQ72 BQ76 BQ79 AY52:AY72 BZ52:BZ81 AY8:AY24 BQ24 BZ84:BZ94 BZ8:BZ50 AY26:AY50 BQ31:BQ50" formulaRange="1"/>
    <ignoredError sqref="BL38 BU38 BU64 CG38:CH38 CD64:CE64 CD38:CF38 CI83 CQ64:CX86 DE87:DM89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3:D12"/>
  <sheetViews>
    <sheetView zoomScale="80" zoomScaleNormal="80" workbookViewId="0" topLeftCell="A1">
      <selection activeCell="G10" sqref="G10"/>
    </sheetView>
  </sheetViews>
  <sheetFormatPr defaultColWidth="9.140625" defaultRowHeight="12.75"/>
  <cols>
    <col min="3" max="3" width="10.7109375" style="0" bestFit="1" customWidth="1"/>
    <col min="4" max="4" width="36.57421875" style="0" bestFit="1" customWidth="1"/>
  </cols>
  <sheetData>
    <row r="3" ht="12.75">
      <c r="C3" s="79"/>
    </row>
    <row r="4" spans="3:4" ht="15">
      <c r="C4" s="386">
        <f>SUM(Summary!DJ92)*0.001</f>
        <v>39.19637498599999</v>
      </c>
      <c r="D4" s="359" t="s">
        <v>119</v>
      </c>
    </row>
    <row r="5" spans="3:4" ht="15">
      <c r="C5" s="387">
        <v>0.009789</v>
      </c>
      <c r="D5" s="357" t="s">
        <v>120</v>
      </c>
    </row>
    <row r="6" spans="3:4" ht="15">
      <c r="C6" s="388">
        <v>0.55072</v>
      </c>
      <c r="D6" s="357" t="s">
        <v>121</v>
      </c>
    </row>
    <row r="7" spans="3:4" ht="15">
      <c r="C7" s="388">
        <v>0.590132</v>
      </c>
      <c r="D7" s="357" t="s">
        <v>122</v>
      </c>
    </row>
    <row r="8" spans="3:4" ht="15">
      <c r="C8" s="388">
        <v>0.198795</v>
      </c>
      <c r="D8" s="357" t="s">
        <v>129</v>
      </c>
    </row>
    <row r="9" spans="3:4" ht="15">
      <c r="C9" s="387">
        <f>2.67-C8</f>
        <v>2.471205</v>
      </c>
      <c r="D9" s="360" t="s">
        <v>126</v>
      </c>
    </row>
    <row r="10" spans="3:4" ht="15">
      <c r="C10" s="389">
        <f>SUM(C4:C9)</f>
        <v>43.017015985999976</v>
      </c>
      <c r="D10" s="361" t="s">
        <v>124</v>
      </c>
    </row>
    <row r="11" spans="3:4" ht="15">
      <c r="C11" s="389">
        <v>43.018</v>
      </c>
      <c r="D11" s="358" t="s">
        <v>123</v>
      </c>
    </row>
    <row r="12" spans="3:4" ht="15">
      <c r="C12" s="387">
        <f>SUM(C11-C10)</f>
        <v>0.000984014000025013</v>
      </c>
      <c r="D12" s="360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